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A:\03 - Contabilidade\2021\Demonstrações Financeiras\4T21\"/>
    </mc:Choice>
  </mc:AlternateContent>
  <xr:revisionPtr revIDLastSave="0" documentId="13_ncr:1_{3A833CEC-A3ED-4060-ABBE-7DC56A953AC7}" xr6:coauthVersionLast="47" xr6:coauthVersionMax="47" xr10:uidLastSave="{00000000-0000-0000-0000-000000000000}"/>
  <bookViews>
    <workbookView xWindow="-120" yWindow="-120" windowWidth="29040" windowHeight="15840" xr2:uid="{564854CA-A2FE-4926-B7E5-1FA202ECD4FE}"/>
  </bookViews>
  <sheets>
    <sheet name="BALANÇO" sheetId="1" r:id="rId1"/>
    <sheet name="DRE" sheetId="2" r:id="rId2"/>
    <sheet name="DRA" sheetId="3" r:id="rId3"/>
    <sheet name="DFC" sheetId="5" r:id="rId4"/>
    <sheet name="DMPL" sheetId="7" r:id="rId5"/>
    <sheet name="DVA" sheetId="6" r:id="rId6"/>
  </sheets>
  <externalReferences>
    <externalReference r:id="rId7"/>
    <externalReference r:id="rId8"/>
    <externalReference r:id="rId9"/>
    <externalReference r:id="rId10"/>
  </externalReferences>
  <definedNames>
    <definedName name="_xlnm.Print_Area" localSheetId="3">DFC!$A$1:$M$82</definedName>
    <definedName name="_xlnm.Print_Area" localSheetId="2">DRA!$A$1:$P$70</definedName>
    <definedName name="_xlnm.Print_Area" localSheetId="1">DRE!$A$1:$G$80</definedName>
    <definedName name="OLE_LINK14" localSheetId="0">BALANÇO!#REF!</definedName>
    <definedName name="OLE_LINK16" localSheetId="0">BALANÇO!#REF!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1" l="1"/>
  <c r="J38" i="1"/>
  <c r="S161" i="7" l="1"/>
  <c r="R161" i="7"/>
  <c r="Q161" i="7"/>
  <c r="P161" i="7"/>
  <c r="A7" i="6" l="1"/>
  <c r="A7" i="7"/>
  <c r="M143" i="7"/>
  <c r="O143" i="7" s="1"/>
  <c r="M142" i="7"/>
  <c r="K142" i="7"/>
  <c r="M141" i="7"/>
  <c r="M140" i="7"/>
  <c r="H140" i="7"/>
  <c r="O140" i="7" s="1"/>
  <c r="M139" i="7"/>
  <c r="O139" i="7" s="1"/>
  <c r="G139" i="7"/>
  <c r="O138" i="7"/>
  <c r="M136" i="7"/>
  <c r="O136" i="7" s="1"/>
  <c r="H134" i="7"/>
  <c r="D134" i="7"/>
  <c r="O133" i="7"/>
  <c r="K131" i="7"/>
  <c r="O131" i="7" s="1"/>
  <c r="K129" i="7"/>
  <c r="H129" i="7"/>
  <c r="G129" i="7"/>
  <c r="D129" i="7"/>
  <c r="O127" i="7"/>
  <c r="O126" i="7"/>
  <c r="O125" i="7"/>
  <c r="O124" i="7"/>
  <c r="O123" i="7"/>
  <c r="O122" i="7"/>
  <c r="O120" i="7"/>
  <c r="H118" i="7"/>
  <c r="O118" i="7" s="1"/>
  <c r="O117" i="7"/>
  <c r="O115" i="7"/>
  <c r="I113" i="7"/>
  <c r="O111" i="7"/>
  <c r="O110" i="7"/>
  <c r="O109" i="7"/>
  <c r="O108" i="7"/>
  <c r="O107" i="7"/>
  <c r="O106" i="7"/>
  <c r="O104" i="7"/>
  <c r="H102" i="7"/>
  <c r="O102" i="7" s="1"/>
  <c r="O101" i="7"/>
  <c r="O99" i="7"/>
  <c r="M97" i="7"/>
  <c r="M113" i="7" s="1"/>
  <c r="K97" i="7"/>
  <c r="K113" i="7" s="1"/>
  <c r="I97" i="7"/>
  <c r="D97" i="7"/>
  <c r="D113" i="7" s="1"/>
  <c r="O95" i="7"/>
  <c r="O94" i="7"/>
  <c r="O93" i="7"/>
  <c r="O92" i="7"/>
  <c r="O91" i="7"/>
  <c r="O90" i="7"/>
  <c r="O88" i="7"/>
  <c r="H86" i="7"/>
  <c r="H97" i="7" s="1"/>
  <c r="O85" i="7"/>
  <c r="G83" i="7"/>
  <c r="G97" i="7" s="1"/>
  <c r="G113" i="7" s="1"/>
  <c r="O81" i="7"/>
  <c r="O80" i="7"/>
  <c r="O79" i="7"/>
  <c r="O78" i="7"/>
  <c r="O77" i="7"/>
  <c r="O76" i="7"/>
  <c r="O74" i="7"/>
  <c r="O72" i="7"/>
  <c r="H72" i="7"/>
  <c r="O71" i="7"/>
  <c r="K69" i="7"/>
  <c r="O67" i="7"/>
  <c r="O66" i="7"/>
  <c r="O65" i="7"/>
  <c r="O64" i="7"/>
  <c r="O63" i="7"/>
  <c r="O62" i="7"/>
  <c r="O60" i="7"/>
  <c r="H58" i="7"/>
  <c r="O58" i="7" s="1"/>
  <c r="O57" i="7"/>
  <c r="O53" i="7"/>
  <c r="O52" i="7"/>
  <c r="O51" i="7"/>
  <c r="O50" i="7"/>
  <c r="O49" i="7"/>
  <c r="O48" i="7"/>
  <c r="O44" i="7"/>
  <c r="H44" i="7"/>
  <c r="O43" i="7"/>
  <c r="K41" i="7"/>
  <c r="O39" i="7"/>
  <c r="O38" i="7"/>
  <c r="O37" i="7"/>
  <c r="S36" i="7"/>
  <c r="O36" i="7"/>
  <c r="S35" i="7"/>
  <c r="O35" i="7"/>
  <c r="S34" i="7"/>
  <c r="O34" i="7"/>
  <c r="S33" i="7"/>
  <c r="S32" i="7"/>
  <c r="O32" i="7"/>
  <c r="S31" i="7"/>
  <c r="S30" i="7"/>
  <c r="H30" i="7"/>
  <c r="O30" i="7" s="1"/>
  <c r="S29" i="7"/>
  <c r="O29" i="7"/>
  <c r="S28" i="7"/>
  <c r="I27" i="7"/>
  <c r="I41" i="7" s="1"/>
  <c r="I55" i="7" s="1"/>
  <c r="I69" i="7" s="1"/>
  <c r="H27" i="7"/>
  <c r="D27" i="7"/>
  <c r="D41" i="7" s="1"/>
  <c r="D55" i="7" s="1"/>
  <c r="D69" i="7" s="1"/>
  <c r="M26" i="7"/>
  <c r="O26" i="7" s="1"/>
  <c r="O25" i="7"/>
  <c r="O24" i="7"/>
  <c r="S23" i="7"/>
  <c r="M23" i="7"/>
  <c r="M27" i="7" s="1"/>
  <c r="M41" i="7" s="1"/>
  <c r="M55" i="7" s="1"/>
  <c r="M69" i="7" s="1"/>
  <c r="S22" i="7"/>
  <c r="G22" i="7"/>
  <c r="G27" i="7" s="1"/>
  <c r="G41" i="7" s="1"/>
  <c r="G55" i="7" s="1"/>
  <c r="G69" i="7" s="1"/>
  <c r="S21" i="7"/>
  <c r="O21" i="7"/>
  <c r="S20" i="7"/>
  <c r="O20" i="7"/>
  <c r="S19" i="7"/>
  <c r="O19" i="7"/>
  <c r="S18" i="7"/>
  <c r="O18" i="7"/>
  <c r="S17" i="7"/>
  <c r="O17" i="7"/>
  <c r="S16" i="7"/>
  <c r="O16" i="7"/>
  <c r="S15" i="7"/>
  <c r="O15" i="7"/>
  <c r="O142" i="7" l="1"/>
  <c r="O134" i="7"/>
  <c r="O86" i="7"/>
  <c r="H113" i="7"/>
  <c r="H41" i="7"/>
  <c r="H55" i="7" s="1"/>
  <c r="H69" i="7" s="1"/>
  <c r="O23" i="7"/>
  <c r="O27" i="7"/>
  <c r="O41" i="7" s="1"/>
  <c r="O55" i="7" s="1"/>
  <c r="O69" i="7" s="1"/>
  <c r="O22" i="7"/>
  <c r="O83" i="7"/>
  <c r="O141" i="7"/>
  <c r="O129" i="7"/>
  <c r="O97" i="7" l="1"/>
  <c r="O113" i="7" s="1"/>
  <c r="J68" i="5"/>
  <c r="H68" i="5"/>
  <c r="H67" i="5"/>
  <c r="J63" i="5"/>
  <c r="H63" i="5"/>
  <c r="M61" i="5"/>
  <c r="M60" i="5"/>
  <c r="M59" i="5"/>
  <c r="M58" i="5"/>
  <c r="M54" i="5"/>
  <c r="J50" i="5"/>
  <c r="J54" i="5" s="1"/>
  <c r="H50" i="5"/>
  <c r="H54" i="5" s="1"/>
  <c r="J44" i="5"/>
  <c r="H44" i="5"/>
  <c r="J43" i="5"/>
  <c r="H43" i="5"/>
  <c r="J42" i="5"/>
  <c r="H42" i="5"/>
  <c r="H41" i="5"/>
  <c r="H40" i="5"/>
  <c r="H39" i="5"/>
  <c r="P38" i="5"/>
  <c r="J38" i="5"/>
  <c r="H38" i="5"/>
  <c r="M37" i="5"/>
  <c r="J37" i="5"/>
  <c r="P35" i="5"/>
  <c r="H35" i="5"/>
  <c r="H34" i="5"/>
  <c r="H33" i="5"/>
  <c r="J32" i="5"/>
  <c r="H32" i="5"/>
  <c r="H31" i="5"/>
  <c r="H30" i="5"/>
  <c r="J29" i="5"/>
  <c r="J28" i="5" s="1"/>
  <c r="H29" i="5"/>
  <c r="M28" i="5"/>
  <c r="J23" i="5"/>
  <c r="J26" i="5" s="1"/>
  <c r="H23" i="5"/>
  <c r="H26" i="5" s="1"/>
  <c r="J18" i="5"/>
  <c r="M14" i="5"/>
  <c r="M26" i="5" s="1"/>
  <c r="D10" i="5"/>
  <c r="F11" i="6" s="1"/>
  <c r="A6" i="5"/>
  <c r="O57" i="3"/>
  <c r="M57" i="3"/>
  <c r="J57" i="3"/>
  <c r="J55" i="3"/>
  <c r="O52" i="3"/>
  <c r="M52" i="3"/>
  <c r="O51" i="3"/>
  <c r="M51" i="3"/>
  <c r="O50" i="3"/>
  <c r="M50" i="3"/>
  <c r="O49" i="3"/>
  <c r="M49" i="3"/>
  <c r="O47" i="3"/>
  <c r="J47" i="3"/>
  <c r="O45" i="3"/>
  <c r="O44" i="3"/>
  <c r="M42" i="3"/>
  <c r="J42" i="3"/>
  <c r="O38" i="3"/>
  <c r="O37" i="3"/>
  <c r="O36" i="3" s="1"/>
  <c r="J37" i="3"/>
  <c r="J36" i="3" s="1"/>
  <c r="M36" i="3"/>
  <c r="O32" i="3"/>
  <c r="O31" i="3"/>
  <c r="O30" i="3"/>
  <c r="M29" i="3"/>
  <c r="M34" i="3" s="1"/>
  <c r="M40" i="3" s="1"/>
  <c r="J29" i="3"/>
  <c r="J34" i="3" s="1"/>
  <c r="O22" i="3"/>
  <c r="O20" i="3" s="1"/>
  <c r="M20" i="3"/>
  <c r="J20" i="3"/>
  <c r="H20" i="3"/>
  <c r="F20" i="3"/>
  <c r="O18" i="3"/>
  <c r="O16" i="3" s="1"/>
  <c r="M16" i="3"/>
  <c r="J16" i="3"/>
  <c r="H16" i="3"/>
  <c r="F16" i="3"/>
  <c r="B8" i="3"/>
  <c r="G13" i="2"/>
  <c r="F10" i="5" s="1"/>
  <c r="H11" i="6" s="1"/>
  <c r="F13" i="2"/>
  <c r="B8" i="2"/>
  <c r="Q38" i="5" l="1"/>
  <c r="M47" i="3"/>
  <c r="J40" i="3"/>
  <c r="H37" i="5"/>
  <c r="M63" i="5"/>
  <c r="M46" i="5"/>
  <c r="O29" i="3"/>
  <c r="O34" i="3" s="1"/>
  <c r="O40" i="3" s="1"/>
  <c r="Q35" i="5"/>
  <c r="O42" i="3"/>
  <c r="J46" i="5"/>
  <c r="J65" i="5" s="1"/>
  <c r="H28" i="5"/>
  <c r="H46" i="5" s="1"/>
  <c r="H65" i="5" s="1"/>
  <c r="M65" i="5" l="1"/>
  <c r="M68" i="5" s="1"/>
</calcChain>
</file>

<file path=xl/sharedStrings.xml><?xml version="1.0" encoding="utf-8"?>
<sst xmlns="http://schemas.openxmlformats.org/spreadsheetml/2006/main" count="393" uniqueCount="246">
  <si>
    <t>COMPANHIA DE GÁS DO CEARÁ - CEGÁS</t>
  </si>
  <si>
    <t>(Valores expressos em milhares de Reais)</t>
  </si>
  <si>
    <t>A T I V O S</t>
  </si>
  <si>
    <t>Nota Explicativa</t>
  </si>
  <si>
    <t>P A S S I V O S</t>
  </si>
  <si>
    <t>Explicativa</t>
  </si>
  <si>
    <t>CIRCULANTES</t>
  </si>
  <si>
    <t>Caixa e equivalentes de caixa</t>
  </si>
  <si>
    <t>Nota 7</t>
  </si>
  <si>
    <t xml:space="preserve">Fornecedores </t>
  </si>
  <si>
    <t>Aplicações Financeiras</t>
  </si>
  <si>
    <t>Nota 8</t>
  </si>
  <si>
    <t>Empréstimos e financiamentos</t>
  </si>
  <si>
    <t xml:space="preserve">Contas a receber de clientes </t>
  </si>
  <si>
    <t>Obrigações trabalhistas e encargos sociais a pagar</t>
  </si>
  <si>
    <t>Imposto de renda e contribuição social a pagar</t>
  </si>
  <si>
    <t>Estoques</t>
  </si>
  <si>
    <t>Nota 11</t>
  </si>
  <si>
    <t>Contas a pagar a parte relacionadas</t>
  </si>
  <si>
    <t>Nota 32</t>
  </si>
  <si>
    <t>Tributos a recuperar</t>
  </si>
  <si>
    <t>Dividendos e juros sobre capital próprio a pagar</t>
  </si>
  <si>
    <t>Nota 24</t>
  </si>
  <si>
    <t>Créditos nas operações de aquisição de gás</t>
  </si>
  <si>
    <t>Participações no Resultado a Pagar</t>
  </si>
  <si>
    <t>Nota 25</t>
  </si>
  <si>
    <t>Despesas antecipadas</t>
  </si>
  <si>
    <t>Nota 15</t>
  </si>
  <si>
    <t>Débitos nas operações de venda de gás</t>
  </si>
  <si>
    <t>Antecipação férias/Cheques em Cobrança</t>
  </si>
  <si>
    <t>Provisão para contingências</t>
  </si>
  <si>
    <t>Nota 23</t>
  </si>
  <si>
    <t>Total dos ativos circulantes</t>
  </si>
  <si>
    <t>Cauções/Valores em Controvérsia/Subvenções</t>
  </si>
  <si>
    <t>Total dos passivos circulantes</t>
  </si>
  <si>
    <t>NÃO CIRCULANTES</t>
  </si>
  <si>
    <t xml:space="preserve">  Contas a receber de clientes </t>
  </si>
  <si>
    <t xml:space="preserve">  Tributos diferidos</t>
  </si>
  <si>
    <t>Subvenções/Participação Financeira</t>
  </si>
  <si>
    <t xml:space="preserve">  Depósitos Judiciais</t>
  </si>
  <si>
    <t>Nota 14</t>
  </si>
  <si>
    <t>Total dos passivos não circulantes</t>
  </si>
  <si>
    <t xml:space="preserve">  Depósito Reinvestimento</t>
  </si>
  <si>
    <t>Nota 16</t>
  </si>
  <si>
    <t>TOTAL DOS PASSIVOS</t>
  </si>
  <si>
    <t>Investimentos</t>
  </si>
  <si>
    <t>Imobilizado</t>
  </si>
  <si>
    <t>PATRIMÔNIO LÍQUIDO</t>
  </si>
  <si>
    <t>Intangível</t>
  </si>
  <si>
    <t>Nota 17</t>
  </si>
  <si>
    <t>Capital Social</t>
  </si>
  <si>
    <t>Nota 26</t>
  </si>
  <si>
    <t>Total dos ativos não circulantes</t>
  </si>
  <si>
    <t>Reserva de Lucro</t>
  </si>
  <si>
    <t>Nota 33</t>
  </si>
  <si>
    <t>Dividendos Adicionais Propostos</t>
  </si>
  <si>
    <t>Total do patrimônio líquido</t>
  </si>
  <si>
    <t>TOTAL DOS ATIVOS</t>
  </si>
  <si>
    <t xml:space="preserve">TOTAL DO PASSIVO E PATRIMÔNIO LÍQUIDO </t>
  </si>
  <si>
    <t xml:space="preserve">                        </t>
  </si>
  <si>
    <t xml:space="preserve">                              </t>
  </si>
  <si>
    <t xml:space="preserve">                 </t>
  </si>
  <si>
    <t>DEMONSTRAÇÃO DO RESULTADO</t>
  </si>
  <si>
    <t>RECEITA BRUTA</t>
  </si>
  <si>
    <t>Venda de Produtos</t>
  </si>
  <si>
    <t>DEDUÇÕES</t>
  </si>
  <si>
    <t>Impostos e Contribuições</t>
  </si>
  <si>
    <t>RECEITA LÍQUIDA - VENDA DE GÁS E SERVIÇOS</t>
  </si>
  <si>
    <t>Nota 27</t>
  </si>
  <si>
    <t>RECEITA DE CONSTRUÇÃO</t>
  </si>
  <si>
    <t>CUSTOS DOS PRODUTOS VENDIDOS E SERVIÇOS PRESTADOS</t>
  </si>
  <si>
    <t>Nota 28</t>
  </si>
  <si>
    <t>CUSTO DE CONSTRUÇÃO</t>
  </si>
  <si>
    <t>LUCRO BRUTO</t>
  </si>
  <si>
    <t>RECEITAS (DESPESAS) OPERACIONAIS</t>
  </si>
  <si>
    <t xml:space="preserve">Despesas Gerais e Administrativas </t>
  </si>
  <si>
    <t>Nota 29</t>
  </si>
  <si>
    <t>Outras Receitas/Despesas Operacionais Líquidas</t>
  </si>
  <si>
    <t>Nota 30</t>
  </si>
  <si>
    <t>LUCRO ANTES DO RESULTADO FINANCEIRO</t>
  </si>
  <si>
    <t>RESULTADO FINANCEIRO</t>
  </si>
  <si>
    <t xml:space="preserve">Receitas Financeiras </t>
  </si>
  <si>
    <t xml:space="preserve">Despesas Financeiras </t>
  </si>
  <si>
    <t>LUCRO ANTES DO IR E DA CSLL</t>
  </si>
  <si>
    <t>IMPOSTO DE RENDA E CONTRIBUIÇÃO SOCIAL</t>
  </si>
  <si>
    <t xml:space="preserve">   Correntes</t>
  </si>
  <si>
    <t xml:space="preserve">   Diferidos</t>
  </si>
  <si>
    <t>INCENTIVO FISCAL DE REDUÇÃO DO IMPOSTO DE RENDA</t>
  </si>
  <si>
    <t>Incentivos Fiscais</t>
  </si>
  <si>
    <t xml:space="preserve">   Incentivo Fiscal Sudene</t>
  </si>
  <si>
    <t xml:space="preserve">   Programa de Alimentação do Trabalhador - PAT</t>
  </si>
  <si>
    <t xml:space="preserve">   Programas de Incentivo a Cultura/Audiovisuais/Desportivas</t>
  </si>
  <si>
    <t xml:space="preserve">   Doações ao FDCA e Fundo Incentivo ao Idoso</t>
  </si>
  <si>
    <t xml:space="preserve">  Programa de Incentivo Empresa Cidadã</t>
  </si>
  <si>
    <t xml:space="preserve">LUCRO ANTES DA REVERSÃO DOS JUROS </t>
  </si>
  <si>
    <t>REMUNERATÓRIOS SOBRE O CAPITAL</t>
  </si>
  <si>
    <t>LUCRO LÍQUIDO DO EXERCÍCIO</t>
  </si>
  <si>
    <t>LUCRO POR AÇÃO</t>
  </si>
  <si>
    <t>Básico (centados por ação)</t>
  </si>
  <si>
    <t xml:space="preserve">   por ação preferencial</t>
  </si>
  <si>
    <t xml:space="preserve">   por ação ordinária</t>
  </si>
  <si>
    <t>Diluído (centavos por ação)</t>
  </si>
  <si>
    <t>(As notas explicativas integram o conjunto das demonstrações contábeis.)</t>
  </si>
  <si>
    <t>DEMONSTRAÇÃO DO RESULTADO ABRANGENTE</t>
  </si>
  <si>
    <t>OUTROS RESULTADOS ABRANGENTES</t>
  </si>
  <si>
    <t>RESULTADO ABRANGENTE TOTAL DO EXERCÍCIO</t>
  </si>
  <si>
    <t>DEMONSTRAÇÃO DAS MUTAÇÕES DO PATRIMÔNIO LÍQUIDO</t>
  </si>
  <si>
    <t>NOTA EXPLICATIVA</t>
  </si>
  <si>
    <t>CAPITAL SOCIAL</t>
  </si>
  <si>
    <t>RESERVAS DE LUCROS</t>
  </si>
  <si>
    <t>DIVIDENDO ADICIONAL PROPOSTO</t>
  </si>
  <si>
    <t>LUCROS ACUMULADOS</t>
  </si>
  <si>
    <t>TOTAL GERAL</t>
  </si>
  <si>
    <t>LEGAL</t>
  </si>
  <si>
    <t>INCENTIVOS FISCAIS</t>
  </si>
  <si>
    <t>LUCROS A DISTRIBUIR</t>
  </si>
  <si>
    <t>SALDOS EM 01/JAN./08</t>
  </si>
  <si>
    <t>Aumento de Capital</t>
  </si>
  <si>
    <t>Com Reservas de Capital</t>
  </si>
  <si>
    <t>Lucro Líquido do Exercício</t>
  </si>
  <si>
    <t>Efeito da Reapresentação das demonstrações</t>
  </si>
  <si>
    <t>Novo Lucro Líquido do Exercício após a reapresentação</t>
  </si>
  <si>
    <t>Destinação do Lucro Líquido do Exercício:</t>
  </si>
  <si>
    <t>Reserva Legal</t>
  </si>
  <si>
    <t>Reserva de Incentivos Fiscais</t>
  </si>
  <si>
    <t>Juros sobre o capital próprio pagos</t>
  </si>
  <si>
    <t>Dividendos a Pagar</t>
  </si>
  <si>
    <t>Lucros a Distribuir</t>
  </si>
  <si>
    <t>SALDOS EM 01/JAN./09</t>
  </si>
  <si>
    <t>Com Reservas de Lucros</t>
  </si>
  <si>
    <t>Juros Sobre o Capital Próprio Pagos</t>
  </si>
  <si>
    <t>Dividendo Adicional Proposto</t>
  </si>
  <si>
    <t>SALDOS EM 31/DEZ./09</t>
  </si>
  <si>
    <t>SALDOS EM 31/DEZ./10</t>
  </si>
  <si>
    <t>SALDOS EM 31/DEZ./11</t>
  </si>
  <si>
    <t>SALDOS EM 31/DEZ./12</t>
  </si>
  <si>
    <t>Juros Sobre o Capital Próprio</t>
  </si>
  <si>
    <t>Dividendos obrigatórios</t>
  </si>
  <si>
    <t>SALDOS EM 31/DEZ./13</t>
  </si>
  <si>
    <t>Dividendos adicionais aprovados</t>
  </si>
  <si>
    <t>SALDOS EM 31/DEZ./14</t>
  </si>
  <si>
    <t>SALDOS EM 31/DEZ./16</t>
  </si>
  <si>
    <t>Nota 19</t>
  </si>
  <si>
    <t>Com reservas de lucros</t>
  </si>
  <si>
    <t>Constituição de reserva legal</t>
  </si>
  <si>
    <t>Constituição de reserva de incentivo fiscal</t>
  </si>
  <si>
    <t>Dividendos mínimos obrigatórios</t>
  </si>
  <si>
    <t>Dividendos adicionais propostos</t>
  </si>
  <si>
    <t>Juros sobre o capital próprio</t>
  </si>
  <si>
    <t>DEMONSTRAÇÃO DOS FLUXOS DE CAIXA (Método Indireto)</t>
  </si>
  <si>
    <t>ocultar essas linhas</t>
  </si>
  <si>
    <t>FLUXO DE CAIXA DAS ATIVIDADES OPERACIONAIS</t>
  </si>
  <si>
    <t>Lucro Antes do IRPJ e CSLL</t>
  </si>
  <si>
    <t xml:space="preserve"> Líquido obtido nas Atividades Operacionais:</t>
  </si>
  <si>
    <t>Atualização negativa a valor justo de investimentos</t>
  </si>
  <si>
    <t>Baixa de intangíveis por sinistros</t>
  </si>
  <si>
    <t>Custo na Venda de Intangível</t>
  </si>
  <si>
    <t>(Ganho) Perda na alienação de imobilizado/intangível</t>
  </si>
  <si>
    <t>Transferências para manutenção do Intangível</t>
  </si>
  <si>
    <t>Depreciações e amortizações</t>
  </si>
  <si>
    <t xml:space="preserve">  Reversão efeito IFRS 16 / CPC 06 Arrendamento</t>
  </si>
  <si>
    <t>(Aumento) redução nos ativos operacionais</t>
  </si>
  <si>
    <t>(Aumento) redução de contas a receber de clientes e outras</t>
  </si>
  <si>
    <t>Impostos a recuperar</t>
  </si>
  <si>
    <t>Creditos nas operações de venda e aq. Gas</t>
  </si>
  <si>
    <t>Despesas Antecipadas</t>
  </si>
  <si>
    <t>(Aumento) redução de outros ativos</t>
  </si>
  <si>
    <t>Redução/Aumento de Passivos</t>
  </si>
  <si>
    <t>Provisão trabalhista e encargos sociais a pagar</t>
  </si>
  <si>
    <t>Imposto de Renda e Contribuição Social Pagos</t>
  </si>
  <si>
    <t>Adiantamentos de Clientes</t>
  </si>
  <si>
    <t>Provisão para Contingências</t>
  </si>
  <si>
    <t>Outros Passivos</t>
  </si>
  <si>
    <t>CAIXA LÍQUIDO GERADO PELAS ATIVIDADES OPERACIONAIS</t>
  </si>
  <si>
    <t>FLUXO DE CAIXA DE ATIVIDADES DE INVESTIMENTOS</t>
  </si>
  <si>
    <t>Aquisição de intangível</t>
  </si>
  <si>
    <t>Recebimento de outros investimentos</t>
  </si>
  <si>
    <t>Baixa de intangível</t>
  </si>
  <si>
    <t>CAIXA LÍQUIDO APLICADO NAS ATIVIDADES DE INVESTIMENTOS</t>
  </si>
  <si>
    <t>FLUXO DE CAIXA DE ATIVIDADES DE FINANCIAMENTO</t>
  </si>
  <si>
    <t>Dividendos pagos</t>
  </si>
  <si>
    <t>Juros capital próprio pagos</t>
  </si>
  <si>
    <t>Depósitos Judiciais</t>
  </si>
  <si>
    <t>Financiamentos</t>
  </si>
  <si>
    <t>CAIXA LÍQUIDO APLICADO NAS ATIVIDADES DE FINANCIAMENTO</t>
  </si>
  <si>
    <t>AUMENTO LÍQUIDO DE CAIXA E EQUIVALENTES DE CAIXA</t>
  </si>
  <si>
    <t>Caixa e equivalentes de caixa no início do exercício</t>
  </si>
  <si>
    <t>Caixa e equivalentes de caixa no fim do exercício</t>
  </si>
  <si>
    <t>DEMONSTRAÇÃO DO VALOR ADICIONADO</t>
  </si>
  <si>
    <t>1- RECEITAS</t>
  </si>
  <si>
    <t>1.1) Vendas de Produtos e Serviços</t>
  </si>
  <si>
    <t>1.2) Outras Receitas</t>
  </si>
  <si>
    <t>1.3) Receitas relativas à construção de ativos próprios</t>
  </si>
  <si>
    <t>1.3) Provisão p/Créditos de Liquidação Duvidosa – Reversão/(Constituição)</t>
  </si>
  <si>
    <t>2-INSUMOS ADQUIRIDOS DE TERCEIROS                                                                                    (inclui valores dos impostos - ICMS, IPI, PIS e COFINS)</t>
  </si>
  <si>
    <t>2.1) Custos dos produtos vendidos e dos serviços prestados</t>
  </si>
  <si>
    <t>2.2) Materiais, Energia, Serviços de Terceiros e Outros</t>
  </si>
  <si>
    <t>2.2) Materiais, energia, serviços de terceiros e outros</t>
  </si>
  <si>
    <t>2.3) Perda / Recuperação de valores ativos</t>
  </si>
  <si>
    <t>2.3) Custo c/ Rede de Gasodutos</t>
  </si>
  <si>
    <t>2.4) Perdas de Gás</t>
  </si>
  <si>
    <t>3 – VALOR ADICIONADO BRUTO (1-2)</t>
  </si>
  <si>
    <t xml:space="preserve">4 – DEPRECIAÇÃO E AMORTIZAÇÃO </t>
  </si>
  <si>
    <t>4.1) Depreciação, amortização e exaustão</t>
  </si>
  <si>
    <t>5 –VALOR ADICIONADO LÍQUIDO PRODUZIDO PELA COMPANHIA (3-4)</t>
  </si>
  <si>
    <t>6 – VALOR ADICIONADO RECEBIDO EM TRANSFERÊNCIA</t>
  </si>
  <si>
    <t>6.1) Receitas Financeiras</t>
  </si>
  <si>
    <t>6.2) Outras Receitas</t>
  </si>
  <si>
    <t>7 – VALOR ADICIONADO TOTAL A DISTRIBUIR (5+6)</t>
  </si>
  <si>
    <t>8 – DISTRIBUIÇÃO DO VALOR ADICIONADO</t>
  </si>
  <si>
    <t>8.1) Pessoal</t>
  </si>
  <si>
    <t>8.1.1 - Remuneração Direta</t>
  </si>
  <si>
    <t>8.1.2 - Benefícios</t>
  </si>
  <si>
    <t>8.1.3 - F.G.T.S</t>
  </si>
  <si>
    <t>8.2) Impostos, Taxas e Contribuições</t>
  </si>
  <si>
    <t>8.2.1 - Federais</t>
  </si>
  <si>
    <t>8.2.2 - Estaduais</t>
  </si>
  <si>
    <t>8.2.3 - Municipais</t>
  </si>
  <si>
    <t>8.3) Remuneração de Capitais de Terceiros</t>
  </si>
  <si>
    <t>8.3.1 - Juros</t>
  </si>
  <si>
    <t>8.3.2 - Aluguéis</t>
  </si>
  <si>
    <t>8.3.3 - Outras</t>
  </si>
  <si>
    <t>8.4) Remuneração de Capitais Próprios</t>
  </si>
  <si>
    <t>8.4.1 - Juros Sobre o Capital Próprio</t>
  </si>
  <si>
    <t>8.4.2 - Dividendos</t>
  </si>
  <si>
    <t xml:space="preserve">8.4.3 - Lucros Retidos </t>
  </si>
  <si>
    <t>8.4.4 - Participação dos não-controladores nos lucros retidos (só p/ consolidação)</t>
  </si>
  <si>
    <t>SALDOS EM 31/DEZ./19</t>
  </si>
  <si>
    <t>Ajustes para reconciliar o Lucro do Exercício</t>
  </si>
  <si>
    <t xml:space="preserve"> Lucro Ajustado</t>
  </si>
  <si>
    <t>DEMONSTRAÇÕES FINANCEIRAS LEVANTADAS EM 31 DE DEZEMBRO DE 2021 E 2020</t>
  </si>
  <si>
    <t>SALDOS EM 31/DEZ./20</t>
  </si>
  <si>
    <t>Dividendos a pagar</t>
  </si>
  <si>
    <t xml:space="preserve">Antecipação de dividendos </t>
  </si>
  <si>
    <t>Contas a receber de partes relacionadas</t>
  </si>
  <si>
    <t>Nota 18</t>
  </si>
  <si>
    <t>SALDOS EM 31/DEZ/21</t>
  </si>
  <si>
    <t>Nota 9</t>
  </si>
  <si>
    <t>Notas 9,10 e 34</t>
  </si>
  <si>
    <t>Nota 12</t>
  </si>
  <si>
    <t>Notas 13 e 34</t>
  </si>
  <si>
    <t>Notas 20 e 34</t>
  </si>
  <si>
    <t>Nota 34</t>
  </si>
  <si>
    <t>Nota 21</t>
  </si>
  <si>
    <t>Nota 21 e 34</t>
  </si>
  <si>
    <t>Nota  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</si>
</sst>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??_);_(@_)"/>
    <numFmt numFmtId="166" formatCode="_(* #,##0.00000_);_(* \(#,##0.00000\);_(* &quot;-&quot;??_);_(@_)"/>
    <numFmt numFmtId="167" formatCode="_-* #,##0_-;\-* #,##0_-;_-* &quot;-&quot;??_-;_-@_-"/>
    <numFmt numFmtId="168" formatCode="_(* #,##0.000_);_(* \(#,##0.000\);_(* &quot;-&quot;??_);_(@_)"/>
    <numFmt numFmtId="169" formatCode="_-* #,##0.00000_-;\-* #,##0.00000_-;_-* &quot;-&quot;?????_-;_-@_-"/>
  </numFmts>
  <fonts count="3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Comic Sans MS"/>
      <family val="4"/>
    </font>
    <font>
      <sz val="10"/>
      <name val="Comic Sans MS"/>
      <family val="4"/>
    </font>
    <font>
      <b/>
      <sz val="10"/>
      <name val="Arial"/>
      <family val="2"/>
    </font>
    <font>
      <sz val="12"/>
      <name val="Arial"/>
      <family val="2"/>
    </font>
    <font>
      <sz val="8"/>
      <name val="Arial"/>
      <family val="2"/>
    </font>
    <font>
      <sz val="9"/>
      <name val="Arial"/>
      <family val="2"/>
    </font>
    <font>
      <u/>
      <sz val="10"/>
      <name val="Arial"/>
      <family val="2"/>
    </font>
    <font>
      <u val="singleAccounting"/>
      <sz val="10"/>
      <name val="Arial"/>
      <family val="2"/>
    </font>
    <font>
      <sz val="10"/>
      <color theme="7"/>
      <name val="Comic Sans MS"/>
      <family val="4"/>
    </font>
    <font>
      <u/>
      <sz val="10"/>
      <color theme="7"/>
      <name val="Arial"/>
      <family val="2"/>
    </font>
    <font>
      <sz val="10"/>
      <color theme="1"/>
      <name val="Arial"/>
      <family val="2"/>
    </font>
    <font>
      <sz val="12"/>
      <color theme="7"/>
      <name val="Comic Sans MS"/>
      <family val="4"/>
    </font>
    <font>
      <b/>
      <i/>
      <sz val="9"/>
      <color rgb="FFFF0000"/>
      <name val="Arial"/>
      <family val="2"/>
    </font>
    <font>
      <sz val="10"/>
      <color indexed="8"/>
      <name val="Arial"/>
      <family val="2"/>
    </font>
    <font>
      <sz val="12"/>
      <name val="Times New Roman"/>
      <family val="1"/>
    </font>
    <font>
      <sz val="10"/>
      <name val="Times New Roman"/>
      <family val="1"/>
    </font>
    <font>
      <b/>
      <sz val="9"/>
      <name val="Arial"/>
      <family val="2"/>
    </font>
    <font>
      <sz val="9"/>
      <color theme="1"/>
      <name val="Arial"/>
      <family val="2"/>
    </font>
    <font>
      <sz val="10"/>
      <color rgb="FFFF0000"/>
      <name val="Comic Sans MS"/>
      <family val="4"/>
    </font>
    <font>
      <b/>
      <sz val="10"/>
      <color theme="1"/>
      <name val="Arial"/>
      <family val="2"/>
    </font>
    <font>
      <sz val="8"/>
      <name val="Comic Sans MS"/>
      <family val="4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8"/>
      <name val="Comic Sans MS"/>
      <family val="4"/>
    </font>
    <font>
      <b/>
      <i/>
      <sz val="11"/>
      <color rgb="FFFF0000"/>
      <name val="Arial"/>
      <family val="2"/>
    </font>
    <font>
      <sz val="12"/>
      <name val="Bodoni MT"/>
      <family val="1"/>
    </font>
    <font>
      <b/>
      <sz val="10"/>
      <name val="Comic Sans MS"/>
      <family val="4"/>
    </font>
    <font>
      <b/>
      <sz val="11"/>
      <color theme="1"/>
      <name val="Arial"/>
      <family val="2"/>
    </font>
    <font>
      <b/>
      <u val="singleAccounting"/>
      <sz val="10"/>
      <name val="Arial"/>
      <family val="2"/>
    </font>
    <font>
      <b/>
      <sz val="12"/>
      <name val="Arial"/>
      <family val="2"/>
    </font>
    <font>
      <b/>
      <i/>
      <sz val="12"/>
      <color rgb="FFFF0000"/>
      <name val="Bodoni MT"/>
      <family val="1"/>
    </font>
    <font>
      <b/>
      <i/>
      <sz val="10"/>
      <color rgb="FFFF0000"/>
      <name val="Bodoni MT"/>
      <family val="1"/>
    </font>
    <font>
      <sz val="10"/>
      <name val="Bodoni MT"/>
      <family val="1"/>
    </font>
    <font>
      <u/>
      <sz val="10.5"/>
      <color indexed="12"/>
      <name val="Arial"/>
      <family val="2"/>
    </font>
    <font>
      <b/>
      <u/>
      <sz val="10"/>
      <color theme="1"/>
      <name val="Arial"/>
      <family val="2"/>
    </font>
    <font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36" fillId="0" borderId="0" applyNumberFormat="0" applyFill="0" applyBorder="0" applyAlignment="0" applyProtection="0">
      <alignment vertical="top"/>
      <protection locked="0"/>
    </xf>
  </cellStyleXfs>
  <cellXfs count="215">
    <xf numFmtId="0" fontId="0" fillId="0" borderId="0" xfId="0"/>
    <xf numFmtId="0" fontId="3" fillId="0" borderId="0" xfId="2" applyFont="1"/>
    <xf numFmtId="0" fontId="4" fillId="0" borderId="0" xfId="2" applyFont="1"/>
    <xf numFmtId="165" fontId="4" fillId="0" borderId="0" xfId="3" applyNumberFormat="1" applyFont="1"/>
    <xf numFmtId="164" fontId="4" fillId="0" borderId="0" xfId="3" applyFont="1"/>
    <xf numFmtId="165" fontId="3" fillId="0" borderId="0" xfId="3" applyNumberFormat="1" applyFont="1"/>
    <xf numFmtId="164" fontId="3" fillId="0" borderId="0" xfId="3" applyFont="1"/>
    <xf numFmtId="165" fontId="6" fillId="0" borderId="0" xfId="3" applyNumberFormat="1" applyFont="1"/>
    <xf numFmtId="164" fontId="6" fillId="0" borderId="0" xfId="3" applyFont="1"/>
    <xf numFmtId="0" fontId="5" fillId="0" borderId="0" xfId="2" applyFont="1" applyAlignment="1">
      <alignment horizontal="left"/>
    </xf>
    <xf numFmtId="165" fontId="6" fillId="0" borderId="1" xfId="3" applyNumberFormat="1" applyFont="1" applyBorder="1"/>
    <xf numFmtId="164" fontId="6" fillId="0" borderId="1" xfId="3" applyFont="1" applyBorder="1"/>
    <xf numFmtId="164" fontId="7" fillId="0" borderId="1" xfId="3" applyFont="1" applyBorder="1"/>
    <xf numFmtId="0" fontId="6" fillId="0" borderId="0" xfId="2" applyFont="1"/>
    <xf numFmtId="0" fontId="2" fillId="0" borderId="0" xfId="2" applyAlignment="1">
      <alignment horizontal="centerContinuous"/>
    </xf>
    <xf numFmtId="165" fontId="2" fillId="0" borderId="0" xfId="3" applyNumberFormat="1" applyAlignment="1">
      <alignment horizontal="centerContinuous"/>
    </xf>
    <xf numFmtId="0" fontId="5" fillId="0" borderId="0" xfId="2" applyFont="1"/>
    <xf numFmtId="0" fontId="2" fillId="0" borderId="0" xfId="2"/>
    <xf numFmtId="10" fontId="2" fillId="0" borderId="0" xfId="4" applyNumberFormat="1" applyAlignment="1">
      <alignment horizontal="center"/>
    </xf>
    <xf numFmtId="165" fontId="2" fillId="0" borderId="0" xfId="3" applyNumberFormat="1" applyAlignment="1">
      <alignment horizontal="left"/>
    </xf>
    <xf numFmtId="0" fontId="2" fillId="0" borderId="0" xfId="2" applyAlignment="1">
      <alignment horizontal="center"/>
    </xf>
    <xf numFmtId="165" fontId="2" fillId="0" borderId="0" xfId="3" applyNumberFormat="1"/>
    <xf numFmtId="0" fontId="8" fillId="0" borderId="0" xfId="2" applyFont="1" applyAlignment="1">
      <alignment horizontal="center"/>
    </xf>
    <xf numFmtId="165" fontId="9" fillId="0" borderId="0" xfId="3" applyNumberFormat="1" applyFont="1"/>
    <xf numFmtId="164" fontId="3" fillId="0" borderId="0" xfId="3" applyFont="1" applyFill="1"/>
    <xf numFmtId="164" fontId="2" fillId="0" borderId="0" xfId="3"/>
    <xf numFmtId="0" fontId="5" fillId="0" borderId="0" xfId="2" applyFont="1" applyAlignment="1">
      <alignment horizontal="center"/>
    </xf>
    <xf numFmtId="165" fontId="9" fillId="0" borderId="0" xfId="3" applyNumberFormat="1" applyFont="1" applyFill="1"/>
    <xf numFmtId="165" fontId="2" fillId="0" borderId="0" xfId="3" applyNumberFormat="1" applyFill="1"/>
    <xf numFmtId="165" fontId="10" fillId="0" borderId="0" xfId="3" applyNumberFormat="1" applyFont="1" applyFill="1"/>
    <xf numFmtId="165" fontId="2" fillId="0" borderId="0" xfId="3" applyNumberFormat="1" applyFont="1" applyFill="1"/>
    <xf numFmtId="165" fontId="11" fillId="0" borderId="0" xfId="3" applyNumberFormat="1" applyFont="1" applyFill="1"/>
    <xf numFmtId="165" fontId="4" fillId="0" borderId="0" xfId="3" applyNumberFormat="1" applyFont="1" applyFill="1"/>
    <xf numFmtId="165" fontId="12" fillId="0" borderId="0" xfId="3" applyNumberFormat="1" applyFont="1" applyFill="1"/>
    <xf numFmtId="43" fontId="8" fillId="0" borderId="0" xfId="2" applyNumberFormat="1" applyFont="1" applyAlignment="1">
      <alignment horizontal="center"/>
    </xf>
    <xf numFmtId="165" fontId="13" fillId="0" borderId="0" xfId="3" applyNumberFormat="1" applyFont="1" applyFill="1"/>
    <xf numFmtId="164" fontId="14" fillId="0" borderId="0" xfId="3" applyFont="1" applyFill="1"/>
    <xf numFmtId="165" fontId="11" fillId="0" borderId="0" xfId="3" applyNumberFormat="1" applyFont="1"/>
    <xf numFmtId="0" fontId="2" fillId="0" borderId="1" xfId="2" applyBorder="1"/>
    <xf numFmtId="165" fontId="2" fillId="0" borderId="1" xfId="3" applyNumberFormat="1" applyBorder="1"/>
    <xf numFmtId="0" fontId="15" fillId="0" borderId="0" xfId="2" applyFont="1"/>
    <xf numFmtId="164" fontId="15" fillId="0" borderId="0" xfId="4" applyNumberFormat="1" applyFont="1"/>
    <xf numFmtId="165" fontId="15" fillId="0" borderId="0" xfId="3" applyNumberFormat="1" applyFont="1"/>
    <xf numFmtId="164" fontId="15" fillId="0" borderId="0" xfId="3" applyFont="1"/>
    <xf numFmtId="165" fontId="15" fillId="0" borderId="0" xfId="2" applyNumberFormat="1" applyFont="1"/>
    <xf numFmtId="43" fontId="15" fillId="0" borderId="0" xfId="2" applyNumberFormat="1" applyFont="1"/>
    <xf numFmtId="43" fontId="16" fillId="0" borderId="0" xfId="1" applyFont="1"/>
    <xf numFmtId="164" fontId="16" fillId="0" borderId="0" xfId="3" applyFont="1"/>
    <xf numFmtId="0" fontId="17" fillId="0" borderId="0" xfId="2" applyFont="1"/>
    <xf numFmtId="0" fontId="18" fillId="0" borderId="0" xfId="2" applyFont="1"/>
    <xf numFmtId="0" fontId="6" fillId="0" borderId="0" xfId="3" applyNumberFormat="1" applyFont="1" applyAlignment="1">
      <alignment horizontal="left"/>
    </xf>
    <xf numFmtId="0" fontId="5" fillId="0" borderId="1" xfId="2" applyFont="1" applyBorder="1"/>
    <xf numFmtId="0" fontId="7" fillId="0" borderId="1" xfId="2" applyFont="1" applyBorder="1"/>
    <xf numFmtId="0" fontId="5" fillId="0" borderId="0" xfId="2" applyFont="1" applyAlignment="1">
      <alignment horizontal="center" vertical="center" wrapText="1"/>
    </xf>
    <xf numFmtId="0" fontId="8" fillId="0" borderId="0" xfId="2" applyFont="1"/>
    <xf numFmtId="0" fontId="19" fillId="0" borderId="0" xfId="2" applyFont="1"/>
    <xf numFmtId="165" fontId="4" fillId="0" borderId="0" xfId="2" applyNumberFormat="1" applyFont="1"/>
    <xf numFmtId="165" fontId="2" fillId="0" borderId="0" xfId="3" applyNumberFormat="1" applyFill="1" applyAlignment="1">
      <alignment horizontal="center"/>
    </xf>
    <xf numFmtId="0" fontId="13" fillId="0" borderId="0" xfId="2" applyFont="1"/>
    <xf numFmtId="0" fontId="20" fillId="0" borderId="0" xfId="2" applyFont="1" applyAlignment="1">
      <alignment horizontal="center"/>
    </xf>
    <xf numFmtId="165" fontId="13" fillId="0" borderId="0" xfId="3" applyNumberFormat="1" applyFont="1"/>
    <xf numFmtId="0" fontId="2" fillId="0" borderId="0" xfId="2" quotePrefix="1"/>
    <xf numFmtId="0" fontId="8" fillId="0" borderId="0" xfId="2" quotePrefix="1" applyFont="1"/>
    <xf numFmtId="0" fontId="2" fillId="2" borderId="0" xfId="2" applyFill="1"/>
    <xf numFmtId="0" fontId="8" fillId="2" borderId="0" xfId="2" quotePrefix="1" applyFont="1" applyFill="1" applyAlignment="1">
      <alignment horizontal="center"/>
    </xf>
    <xf numFmtId="165" fontId="2" fillId="2" borderId="0" xfId="3" applyNumberFormat="1" applyFill="1"/>
    <xf numFmtId="164" fontId="4" fillId="2" borderId="0" xfId="3" applyFont="1" applyFill="1"/>
    <xf numFmtId="0" fontId="8" fillId="2" borderId="0" xfId="2" quotePrefix="1" applyFont="1" applyFill="1"/>
    <xf numFmtId="165" fontId="10" fillId="0" borderId="0" xfId="3" applyNumberFormat="1" applyFont="1"/>
    <xf numFmtId="0" fontId="21" fillId="0" borderId="0" xfId="2" applyFont="1"/>
    <xf numFmtId="0" fontId="21" fillId="3" borderId="0" xfId="2" applyFont="1" applyFill="1" applyAlignment="1">
      <alignment horizontal="center"/>
    </xf>
    <xf numFmtId="165" fontId="21" fillId="0" borderId="0" xfId="2" applyNumberFormat="1" applyFont="1"/>
    <xf numFmtId="165" fontId="21" fillId="3" borderId="0" xfId="2" applyNumberFormat="1" applyFont="1" applyFill="1" applyAlignment="1">
      <alignment horizontal="center"/>
    </xf>
    <xf numFmtId="0" fontId="22" fillId="0" borderId="0" xfId="2" applyFont="1"/>
    <xf numFmtId="0" fontId="13" fillId="0" borderId="0" xfId="2" quotePrefix="1" applyFont="1"/>
    <xf numFmtId="164" fontId="2" fillId="0" borderId="0" xfId="3" applyFill="1"/>
    <xf numFmtId="10" fontId="4" fillId="0" borderId="0" xfId="4" applyNumberFormat="1" applyFont="1"/>
    <xf numFmtId="164" fontId="4" fillId="0" borderId="0" xfId="2" applyNumberFormat="1" applyFont="1"/>
    <xf numFmtId="164" fontId="10" fillId="0" borderId="0" xfId="3" applyFont="1"/>
    <xf numFmtId="165" fontId="4" fillId="3" borderId="0" xfId="2" applyNumberFormat="1" applyFont="1" applyFill="1" applyAlignment="1">
      <alignment horizontal="center"/>
    </xf>
    <xf numFmtId="43" fontId="4" fillId="0" borderId="0" xfId="2" applyNumberFormat="1" applyFont="1"/>
    <xf numFmtId="0" fontId="4" fillId="0" borderId="0" xfId="2" applyFont="1" applyAlignment="1">
      <alignment horizontal="center"/>
    </xf>
    <xf numFmtId="165" fontId="4" fillId="0" borderId="0" xfId="2" applyNumberFormat="1" applyFont="1" applyAlignment="1">
      <alignment horizontal="center"/>
    </xf>
    <xf numFmtId="43" fontId="4" fillId="0" borderId="0" xfId="2" applyNumberFormat="1" applyFont="1" applyAlignment="1">
      <alignment horizontal="center"/>
    </xf>
    <xf numFmtId="165" fontId="4" fillId="0" borderId="0" xfId="3" applyNumberFormat="1" applyFont="1" applyAlignment="1">
      <alignment horizontal="center"/>
    </xf>
    <xf numFmtId="0" fontId="7" fillId="0" borderId="0" xfId="2" applyFont="1"/>
    <xf numFmtId="0" fontId="2" fillId="0" borderId="1" xfId="2" applyBorder="1" applyAlignment="1">
      <alignment horizontal="left"/>
    </xf>
    <xf numFmtId="0" fontId="23" fillId="0" borderId="0" xfId="2" applyFont="1"/>
    <xf numFmtId="3" fontId="24" fillId="0" borderId="0" xfId="0" applyNumberFormat="1" applyFont="1" applyAlignment="1">
      <alignment horizontal="right" vertical="center"/>
    </xf>
    <xf numFmtId="0" fontId="24" fillId="0" borderId="0" xfId="0" applyFont="1" applyAlignment="1">
      <alignment horizontal="right" vertical="center"/>
    </xf>
    <xf numFmtId="3" fontId="23" fillId="0" borderId="0" xfId="2" applyNumberFormat="1" applyFont="1"/>
    <xf numFmtId="3" fontId="25" fillId="0" borderId="0" xfId="0" applyNumberFormat="1" applyFont="1" applyAlignment="1">
      <alignment horizontal="right" vertical="center"/>
    </xf>
    <xf numFmtId="0" fontId="2" fillId="0" borderId="1" xfId="2" applyBorder="1" applyAlignment="1">
      <alignment horizontal="centerContinuous"/>
    </xf>
    <xf numFmtId="0" fontId="5" fillId="0" borderId="1" xfId="2" applyFont="1" applyBorder="1" applyAlignment="1">
      <alignment horizontal="centerContinuous"/>
    </xf>
    <xf numFmtId="0" fontId="23" fillId="0" borderId="1" xfId="2" applyFont="1" applyBorder="1"/>
    <xf numFmtId="37" fontId="5" fillId="0" borderId="0" xfId="2" applyNumberFormat="1" applyFont="1" applyAlignment="1">
      <alignment horizontal="center" vertical="center" wrapText="1"/>
    </xf>
    <xf numFmtId="37" fontId="5" fillId="0" borderId="0" xfId="2" applyNumberFormat="1" applyFont="1" applyAlignment="1">
      <alignment horizontal="center"/>
    </xf>
    <xf numFmtId="0" fontId="26" fillId="0" borderId="0" xfId="2" applyFont="1"/>
    <xf numFmtId="0" fontId="2" fillId="0" borderId="0" xfId="2" applyAlignment="1">
      <alignment horizontal="center" vertical="center" wrapText="1"/>
    </xf>
    <xf numFmtId="164" fontId="23" fillId="0" borderId="0" xfId="3" applyFont="1"/>
    <xf numFmtId="165" fontId="5" fillId="0" borderId="0" xfId="3" applyNumberFormat="1" applyFont="1"/>
    <xf numFmtId="166" fontId="23" fillId="0" borderId="0" xfId="3" applyNumberFormat="1" applyFont="1"/>
    <xf numFmtId="165" fontId="23" fillId="0" borderId="0" xfId="2" applyNumberFormat="1" applyFont="1"/>
    <xf numFmtId="165" fontId="5" fillId="0" borderId="1" xfId="3" applyNumberFormat="1" applyFont="1" applyBorder="1"/>
    <xf numFmtId="166" fontId="23" fillId="0" borderId="0" xfId="2" applyNumberFormat="1" applyFont="1"/>
    <xf numFmtId="0" fontId="27" fillId="0" borderId="0" xfId="2" applyFont="1"/>
    <xf numFmtId="164" fontId="28" fillId="0" borderId="0" xfId="3" applyFont="1"/>
    <xf numFmtId="165" fontId="26" fillId="0" borderId="0" xfId="3" applyNumberFormat="1" applyFont="1"/>
    <xf numFmtId="165" fontId="23" fillId="0" borderId="0" xfId="3" applyNumberFormat="1" applyFont="1"/>
    <xf numFmtId="165" fontId="4" fillId="0" borderId="3" xfId="3" applyNumberFormat="1" applyFont="1" applyBorder="1"/>
    <xf numFmtId="165" fontId="2" fillId="0" borderId="1" xfId="3" applyNumberFormat="1" applyFill="1" applyBorder="1"/>
    <xf numFmtId="0" fontId="5" fillId="0" borderId="0" xfId="2" applyFont="1" applyAlignment="1">
      <alignment horizontal="center" vertical="center"/>
    </xf>
    <xf numFmtId="37" fontId="2" fillId="0" borderId="0" xfId="2" applyNumberFormat="1"/>
    <xf numFmtId="49" fontId="5" fillId="0" borderId="0" xfId="2" applyNumberFormat="1" applyFont="1" applyAlignment="1">
      <alignment horizontal="left"/>
    </xf>
    <xf numFmtId="0" fontId="5" fillId="0" borderId="0" xfId="2" applyFont="1" applyAlignment="1">
      <alignment vertical="center"/>
    </xf>
    <xf numFmtId="3" fontId="30" fillId="0" borderId="0" xfId="0" applyNumberFormat="1" applyFont="1"/>
    <xf numFmtId="165" fontId="5" fillId="0" borderId="0" xfId="3" applyNumberFormat="1" applyFont="1" applyFill="1"/>
    <xf numFmtId="165" fontId="31" fillId="0" borderId="0" xfId="3" applyNumberFormat="1" applyFont="1" applyFill="1"/>
    <xf numFmtId="0" fontId="2" fillId="0" borderId="0" xfId="2" applyAlignment="1">
      <alignment horizontal="left"/>
    </xf>
    <xf numFmtId="165" fontId="2" fillId="0" borderId="0" xfId="2" applyNumberFormat="1" applyAlignment="1">
      <alignment horizontal="left"/>
    </xf>
    <xf numFmtId="168" fontId="2" fillId="0" borderId="0" xfId="2" applyNumberFormat="1" applyAlignment="1">
      <alignment horizontal="left"/>
    </xf>
    <xf numFmtId="164" fontId="2" fillId="0" borderId="0" xfId="3" applyAlignment="1">
      <alignment horizontal="left"/>
    </xf>
    <xf numFmtId="164" fontId="2" fillId="0" borderId="0" xfId="3" applyFill="1" applyAlignment="1">
      <alignment horizontal="left"/>
    </xf>
    <xf numFmtId="165" fontId="6" fillId="0" borderId="0" xfId="3" applyNumberFormat="1" applyFont="1" applyFill="1"/>
    <xf numFmtId="164" fontId="6" fillId="0" borderId="0" xfId="3" applyFont="1" applyFill="1"/>
    <xf numFmtId="0" fontId="5" fillId="0" borderId="0" xfId="2" applyFont="1" applyProtection="1">
      <protection hidden="1"/>
    </xf>
    <xf numFmtId="165" fontId="32" fillId="0" borderId="0" xfId="3" applyNumberFormat="1" applyFont="1"/>
    <xf numFmtId="165" fontId="5" fillId="0" borderId="1" xfId="3" applyNumberFormat="1" applyFont="1" applyFill="1" applyBorder="1"/>
    <xf numFmtId="0" fontId="2" fillId="0" borderId="0" xfId="2" applyAlignment="1">
      <alignment horizontal="left" indent="1"/>
    </xf>
    <xf numFmtId="165" fontId="32" fillId="0" borderId="0" xfId="3" applyNumberFormat="1" applyFont="1" applyAlignment="1">
      <alignment horizontal="center" vertical="center"/>
    </xf>
    <xf numFmtId="165" fontId="5" fillId="0" borderId="1" xfId="3" applyNumberFormat="1" applyFont="1" applyBorder="1" applyAlignment="1">
      <alignment horizontal="center" vertical="center"/>
    </xf>
    <xf numFmtId="165" fontId="5" fillId="0" borderId="1" xfId="3" applyNumberFormat="1" applyFont="1" applyFill="1" applyBorder="1" applyAlignment="1">
      <alignment horizontal="center" vertical="center"/>
    </xf>
    <xf numFmtId="0" fontId="2" fillId="0" borderId="0" xfId="2" applyProtection="1">
      <protection hidden="1"/>
    </xf>
    <xf numFmtId="165" fontId="5" fillId="0" borderId="4" xfId="3" applyNumberFormat="1" applyFont="1" applyBorder="1"/>
    <xf numFmtId="165" fontId="5" fillId="0" borderId="4" xfId="3" applyNumberFormat="1" applyFont="1" applyFill="1" applyBorder="1"/>
    <xf numFmtId="0" fontId="28" fillId="0" borderId="0" xfId="2" applyFont="1"/>
    <xf numFmtId="165" fontId="2" fillId="3" borderId="0" xfId="3" applyNumberFormat="1" applyFill="1"/>
    <xf numFmtId="0" fontId="33" fillId="0" borderId="0" xfId="2" applyFont="1"/>
    <xf numFmtId="0" fontId="34" fillId="0" borderId="0" xfId="2" applyFont="1"/>
    <xf numFmtId="165" fontId="34" fillId="0" borderId="0" xfId="3" applyNumberFormat="1" applyFont="1"/>
    <xf numFmtId="165" fontId="33" fillId="0" borderId="0" xfId="3" applyNumberFormat="1" applyFont="1"/>
    <xf numFmtId="165" fontId="34" fillId="0" borderId="0" xfId="3" applyNumberFormat="1" applyFont="1" applyFill="1"/>
    <xf numFmtId="164" fontId="33" fillId="0" borderId="0" xfId="3" applyFont="1"/>
    <xf numFmtId="0" fontId="35" fillId="0" borderId="0" xfId="2" applyFont="1"/>
    <xf numFmtId="165" fontId="35" fillId="0" borderId="0" xfId="3" applyNumberFormat="1" applyFont="1"/>
    <xf numFmtId="165" fontId="28" fillId="0" borderId="0" xfId="3" applyNumberFormat="1" applyFont="1"/>
    <xf numFmtId="165" fontId="35" fillId="0" borderId="0" xfId="3" applyNumberFormat="1" applyFont="1" applyFill="1"/>
    <xf numFmtId="0" fontId="7" fillId="0" borderId="0" xfId="2" applyFont="1" applyAlignment="1">
      <alignment horizontal="center"/>
    </xf>
    <xf numFmtId="0" fontId="36" fillId="0" borderId="0" xfId="6" applyAlignment="1" applyProtection="1">
      <alignment horizontal="center"/>
    </xf>
    <xf numFmtId="165" fontId="6" fillId="0" borderId="0" xfId="3" applyNumberFormat="1" applyFont="1" applyFill="1" applyAlignment="1">
      <alignment horizontal="left"/>
    </xf>
    <xf numFmtId="0" fontId="3" fillId="0" borderId="0" xfId="3" applyNumberFormat="1" applyFont="1"/>
    <xf numFmtId="49" fontId="5" fillId="0" borderId="0" xfId="2" applyNumberFormat="1" applyFont="1" applyFill="1" applyAlignment="1">
      <alignment horizontal="left"/>
    </xf>
    <xf numFmtId="0" fontId="2" fillId="0" borderId="0" xfId="2" applyFill="1"/>
    <xf numFmtId="37" fontId="2" fillId="0" borderId="0" xfId="2" applyNumberFormat="1" applyFill="1"/>
    <xf numFmtId="165" fontId="4" fillId="0" borderId="3" xfId="3" applyNumberFormat="1" applyFont="1" applyFill="1" applyBorder="1"/>
    <xf numFmtId="0" fontId="4" fillId="0" borderId="0" xfId="2" applyFont="1" applyFill="1"/>
    <xf numFmtId="167" fontId="2" fillId="0" borderId="0" xfId="1" applyNumberFormat="1" applyFont="1" applyFill="1"/>
    <xf numFmtId="164" fontId="4" fillId="0" borderId="0" xfId="3" applyFont="1" applyFill="1"/>
    <xf numFmtId="165" fontId="2" fillId="0" borderId="0" xfId="2" applyNumberFormat="1" applyFill="1"/>
    <xf numFmtId="165" fontId="4" fillId="0" borderId="0" xfId="2" applyNumberFormat="1" applyFont="1" applyFill="1"/>
    <xf numFmtId="0" fontId="15" fillId="0" borderId="0" xfId="2" applyFont="1" applyFill="1"/>
    <xf numFmtId="165" fontId="29" fillId="0" borderId="0" xfId="3" applyNumberFormat="1" applyFont="1" applyFill="1"/>
    <xf numFmtId="165" fontId="2" fillId="0" borderId="3" xfId="3" applyNumberFormat="1" applyFill="1" applyBorder="1"/>
    <xf numFmtId="0" fontId="5" fillId="0" borderId="0" xfId="2" applyFont="1" applyFill="1"/>
    <xf numFmtId="43" fontId="2" fillId="0" borderId="0" xfId="1" applyFont="1" applyFill="1"/>
    <xf numFmtId="43" fontId="2" fillId="0" borderId="0" xfId="2" applyNumberFormat="1" applyFill="1"/>
    <xf numFmtId="167" fontId="4" fillId="0" borderId="0" xfId="1" applyNumberFormat="1" applyFont="1" applyFill="1"/>
    <xf numFmtId="164" fontId="4" fillId="0" borderId="0" xfId="2" applyNumberFormat="1" applyFont="1" applyFill="1"/>
    <xf numFmtId="164" fontId="4" fillId="0" borderId="0" xfId="3" applyFont="1" applyFill="1" applyAlignment="1">
      <alignment horizontal="right"/>
    </xf>
    <xf numFmtId="3" fontId="30" fillId="0" borderId="0" xfId="0" applyNumberFormat="1" applyFont="1" applyFill="1"/>
    <xf numFmtId="0" fontId="2" fillId="0" borderId="0" xfId="5" applyFill="1" applyAlignment="1">
      <alignment horizontal="left" wrapText="1"/>
    </xf>
    <xf numFmtId="0" fontId="5" fillId="0" borderId="2" xfId="2" applyFont="1" applyFill="1" applyBorder="1" applyAlignment="1">
      <alignment horizontal="center" vertical="center"/>
    </xf>
    <xf numFmtId="165" fontId="9" fillId="0" borderId="0" xfId="3" applyNumberFormat="1" applyFont="1" applyFill="1" applyAlignment="1">
      <alignment horizontal="right"/>
    </xf>
    <xf numFmtId="165" fontId="2" fillId="0" borderId="0" xfId="3" applyNumberFormat="1" applyFill="1" applyAlignment="1">
      <alignment horizontal="right"/>
    </xf>
    <xf numFmtId="165" fontId="4" fillId="0" borderId="0" xfId="3" applyNumberFormat="1" applyFont="1" applyFill="1" applyAlignment="1">
      <alignment horizontal="right"/>
    </xf>
    <xf numFmtId="165" fontId="10" fillId="0" borderId="0" xfId="3" applyNumberFormat="1" applyFont="1" applyFill="1" applyAlignment="1">
      <alignment horizontal="right"/>
    </xf>
    <xf numFmtId="165" fontId="13" fillId="0" borderId="0" xfId="3" applyNumberFormat="1" applyFont="1" applyFill="1" applyAlignment="1">
      <alignment horizontal="right"/>
    </xf>
    <xf numFmtId="164" fontId="2" fillId="0" borderId="0" xfId="3" applyFill="1" applyAlignment="1">
      <alignment horizontal="right"/>
    </xf>
    <xf numFmtId="3" fontId="25" fillId="0" borderId="0" xfId="0" applyNumberFormat="1" applyFont="1"/>
    <xf numFmtId="166" fontId="23" fillId="0" borderId="0" xfId="2" applyNumberFormat="1" applyFont="1" applyFill="1"/>
    <xf numFmtId="0" fontId="23" fillId="0" borderId="0" xfId="2" applyFont="1" applyFill="1"/>
    <xf numFmtId="166" fontId="23" fillId="0" borderId="0" xfId="3" applyNumberFormat="1" applyFont="1" applyFill="1"/>
    <xf numFmtId="3" fontId="37" fillId="0" borderId="0" xfId="0" applyNumberFormat="1" applyFont="1" applyFill="1" applyBorder="1"/>
    <xf numFmtId="3" fontId="25" fillId="0" borderId="0" xfId="0" applyNumberFormat="1" applyFont="1" applyFill="1" applyBorder="1" applyAlignment="1">
      <alignment horizontal="right" vertical="center" wrapText="1"/>
    </xf>
    <xf numFmtId="0" fontId="23" fillId="0" borderId="0" xfId="2" applyFont="1" applyFill="1" applyBorder="1"/>
    <xf numFmtId="0" fontId="6" fillId="0" borderId="1" xfId="2" applyFont="1" applyBorder="1"/>
    <xf numFmtId="0" fontId="2" fillId="0" borderId="0" xfId="2" applyBorder="1"/>
    <xf numFmtId="0" fontId="15" fillId="0" borderId="0" xfId="2" applyFont="1" applyBorder="1"/>
    <xf numFmtId="3" fontId="38" fillId="0" borderId="0" xfId="0" applyNumberFormat="1" applyFont="1"/>
    <xf numFmtId="0" fontId="38" fillId="0" borderId="0" xfId="0" applyFont="1"/>
    <xf numFmtId="169" fontId="23" fillId="0" borderId="0" xfId="2" applyNumberFormat="1" applyFont="1"/>
    <xf numFmtId="3" fontId="13" fillId="0" borderId="0" xfId="0" applyNumberFormat="1" applyFont="1"/>
    <xf numFmtId="0" fontId="5" fillId="0" borderId="0" xfId="2" applyFont="1" applyAlignment="1">
      <alignment horizontal="center" vertical="center" wrapText="1"/>
    </xf>
    <xf numFmtId="14" fontId="5" fillId="0" borderId="0" xfId="2" applyNumberFormat="1" applyFont="1" applyFill="1" applyAlignment="1">
      <alignment horizontal="center" vertical="center" wrapText="1"/>
    </xf>
    <xf numFmtId="0" fontId="5" fillId="0" borderId="0" xfId="2" applyFont="1" applyFill="1" applyAlignment="1">
      <alignment horizontal="center" vertical="center" wrapText="1"/>
    </xf>
    <xf numFmtId="0" fontId="5" fillId="0" borderId="0" xfId="2" applyFont="1" applyAlignment="1">
      <alignment horizontal="left"/>
    </xf>
    <xf numFmtId="0" fontId="5" fillId="0" borderId="0" xfId="2" applyFont="1" applyAlignment="1">
      <alignment horizontal="center"/>
    </xf>
    <xf numFmtId="0" fontId="5" fillId="0" borderId="1" xfId="2" applyFont="1" applyBorder="1" applyAlignment="1">
      <alignment horizontal="left"/>
    </xf>
    <xf numFmtId="0" fontId="2" fillId="0" borderId="1" xfId="2" applyBorder="1" applyAlignment="1">
      <alignment horizontal="left"/>
    </xf>
    <xf numFmtId="14" fontId="5" fillId="0" borderId="0" xfId="2" quotePrefix="1" applyNumberFormat="1" applyFont="1" applyAlignment="1">
      <alignment horizontal="center" vertical="center"/>
    </xf>
    <xf numFmtId="14" fontId="5" fillId="0" borderId="0" xfId="2" applyNumberFormat="1" applyFont="1" applyAlignment="1">
      <alignment horizontal="center" vertical="center"/>
    </xf>
    <xf numFmtId="0" fontId="5" fillId="0" borderId="0" xfId="2" applyFont="1" applyAlignment="1">
      <alignment horizontal="center" vertical="center"/>
    </xf>
    <xf numFmtId="0" fontId="2" fillId="0" borderId="1" xfId="2" applyFill="1" applyBorder="1" applyAlignment="1">
      <alignment horizontal="left"/>
    </xf>
    <xf numFmtId="14" fontId="5" fillId="0" borderId="2" xfId="2" applyNumberFormat="1" applyFont="1" applyBorder="1" applyAlignment="1">
      <alignment horizontal="center" vertical="center"/>
    </xf>
    <xf numFmtId="0" fontId="5" fillId="0" borderId="2" xfId="2" applyFont="1" applyBorder="1" applyAlignment="1">
      <alignment horizontal="center" vertical="center"/>
    </xf>
    <xf numFmtId="37" fontId="5" fillId="0" borderId="2" xfId="2" applyNumberFormat="1" applyFont="1" applyBorder="1" applyAlignment="1">
      <alignment horizontal="center" vertical="center" wrapText="1"/>
    </xf>
    <xf numFmtId="37" fontId="5" fillId="0" borderId="1" xfId="2" applyNumberFormat="1" applyFont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 wrapText="1"/>
    </xf>
    <xf numFmtId="37" fontId="5" fillId="0" borderId="0" xfId="2" applyNumberFormat="1" applyFont="1" applyAlignment="1">
      <alignment horizontal="center" vertical="center" wrapText="1"/>
    </xf>
    <xf numFmtId="0" fontId="2" fillId="0" borderId="1" xfId="2" applyBorder="1" applyAlignment="1">
      <alignment horizontal="center" vertical="center" wrapText="1"/>
    </xf>
    <xf numFmtId="37" fontId="5" fillId="0" borderId="0" xfId="2" applyNumberFormat="1" applyFont="1" applyAlignment="1">
      <alignment horizontal="center"/>
    </xf>
    <xf numFmtId="0" fontId="2" fillId="0" borderId="0" xfId="2" applyAlignment="1">
      <alignment horizontal="center" vertical="center" wrapText="1"/>
    </xf>
    <xf numFmtId="0" fontId="5" fillId="0" borderId="0" xfId="2" applyFont="1" applyAlignment="1" applyProtection="1">
      <alignment horizontal="left" wrapText="1"/>
      <protection hidden="1"/>
    </xf>
    <xf numFmtId="3" fontId="22" fillId="0" borderId="0" xfId="0" applyNumberFormat="1" applyFont="1"/>
    <xf numFmtId="3" fontId="24" fillId="0" borderId="0" xfId="0" applyNumberFormat="1" applyFont="1"/>
  </cellXfs>
  <cellStyles count="7">
    <cellStyle name="Hiperlink" xfId="6" builtinId="8"/>
    <cellStyle name="Normal" xfId="0" builtinId="0"/>
    <cellStyle name="Normal 2" xfId="2" xr:uid="{61537E0D-A834-4A51-AD50-4AB06B463581}"/>
    <cellStyle name="Normal_Quadros 2004" xfId="5" xr:uid="{588A8BFA-E8CC-4914-AF42-18E20673F240}"/>
    <cellStyle name="Porcentagem 2" xfId="4" xr:uid="{AF08C535-04AC-41C1-9413-2E991DC668DC}"/>
    <cellStyle name="Vírgula" xfId="1" builtinId="3"/>
    <cellStyle name="Vírgula 2" xfId="3" xr:uid="{424A410D-8301-4771-94C5-4D0E0DF8348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4.png"/><Relationship Id="rId1" Type="http://schemas.openxmlformats.org/officeDocument/2006/relationships/image" Target="../media/image3.png"/><Relationship Id="rId4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907676</xdr:colOff>
      <xdr:row>0</xdr:row>
      <xdr:rowOff>56028</xdr:rowOff>
    </xdr:from>
    <xdr:to>
      <xdr:col>11</xdr:col>
      <xdr:colOff>0</xdr:colOff>
      <xdr:row>2</xdr:row>
      <xdr:rowOff>171208</xdr:rowOff>
    </xdr:to>
    <xdr:pic>
      <xdr:nvPicPr>
        <xdr:cNvPr id="2" name="Imagem 6" descr="MARCA-DAGUA">
          <a:extLst>
            <a:ext uri="{FF2B5EF4-FFF2-40B4-BE49-F238E27FC236}">
              <a16:creationId xmlns:a16="http://schemas.microsoft.com/office/drawing/2014/main" id="{A541AB6F-5C9D-475C-9D1B-8512B80BA5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37551" y="56028"/>
          <a:ext cx="1910282" cy="610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222517</xdr:colOff>
      <xdr:row>48</xdr:row>
      <xdr:rowOff>16808</xdr:rowOff>
    </xdr:from>
    <xdr:to>
      <xdr:col>7</xdr:col>
      <xdr:colOff>2342030</xdr:colOff>
      <xdr:row>53</xdr:row>
      <xdr:rowOff>129200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B3251E2C-9E21-4F02-9506-96B61C86B6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256635" y="9351308"/>
          <a:ext cx="4820130" cy="12890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403414</xdr:colOff>
      <xdr:row>0</xdr:row>
      <xdr:rowOff>29880</xdr:rowOff>
    </xdr:from>
    <xdr:to>
      <xdr:col>6</xdr:col>
      <xdr:colOff>934360</xdr:colOff>
      <xdr:row>2</xdr:row>
      <xdr:rowOff>180278</xdr:rowOff>
    </xdr:to>
    <xdr:pic>
      <xdr:nvPicPr>
        <xdr:cNvPr id="6" name="Imagem 6" descr="MARCA-DAGUA">
          <a:extLst>
            <a:ext uri="{FF2B5EF4-FFF2-40B4-BE49-F238E27FC236}">
              <a16:creationId xmlns:a16="http://schemas.microsoft.com/office/drawing/2014/main" id="{F50FB903-CF88-48E5-BCBE-431536CC03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55767" y="29880"/>
          <a:ext cx="1868181" cy="5687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1019735</xdr:colOff>
      <xdr:row>72</xdr:row>
      <xdr:rowOff>56029</xdr:rowOff>
    </xdr:from>
    <xdr:to>
      <xdr:col>5</xdr:col>
      <xdr:colOff>763600</xdr:colOff>
      <xdr:row>79</xdr:row>
      <xdr:rowOff>11539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id="{EDF8AA7A-12A8-4A07-A2A7-261863DB03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837764" y="9547411"/>
          <a:ext cx="4820130" cy="12890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750792</xdr:colOff>
      <xdr:row>0</xdr:row>
      <xdr:rowOff>67234</xdr:rowOff>
    </xdr:from>
    <xdr:to>
      <xdr:col>16</xdr:col>
      <xdr:colOff>214830</xdr:colOff>
      <xdr:row>3</xdr:row>
      <xdr:rowOff>36738</xdr:rowOff>
    </xdr:to>
    <xdr:pic>
      <xdr:nvPicPr>
        <xdr:cNvPr id="2" name="Imagem 1" descr="MARCA-DAGUA">
          <a:extLst>
            <a:ext uri="{FF2B5EF4-FFF2-40B4-BE49-F238E27FC236}">
              <a16:creationId xmlns:a16="http://schemas.microsoft.com/office/drawing/2014/main" id="{52D051F1-9130-4B0E-BD74-E9E5D4B86C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46767" y="67234"/>
          <a:ext cx="1826238" cy="5981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1299883</xdr:colOff>
      <xdr:row>31</xdr:row>
      <xdr:rowOff>56030</xdr:rowOff>
    </xdr:from>
    <xdr:to>
      <xdr:col>6</xdr:col>
      <xdr:colOff>124866</xdr:colOff>
      <xdr:row>38</xdr:row>
      <xdr:rowOff>11540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E4D5AF09-43A0-4F06-93A5-9B933CC8E7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117912" y="4381501"/>
          <a:ext cx="4820130" cy="128901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533400</xdr:colOff>
      <xdr:row>0</xdr:row>
      <xdr:rowOff>9525</xdr:rowOff>
    </xdr:from>
    <xdr:to>
      <xdr:col>13</xdr:col>
      <xdr:colOff>29935</xdr:colOff>
      <xdr:row>2</xdr:row>
      <xdr:rowOff>122464</xdr:rowOff>
    </xdr:to>
    <xdr:pic>
      <xdr:nvPicPr>
        <xdr:cNvPr id="2" name="Imagem 1" descr="MARCA-DAGUA">
          <a:extLst>
            <a:ext uri="{FF2B5EF4-FFF2-40B4-BE49-F238E27FC236}">
              <a16:creationId xmlns:a16="http://schemas.microsoft.com/office/drawing/2014/main" id="{218CB08D-1153-45C7-B773-1C72C891A6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0" y="9525"/>
          <a:ext cx="1839685" cy="6082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1190625</xdr:colOff>
      <xdr:row>70</xdr:row>
      <xdr:rowOff>161925</xdr:rowOff>
    </xdr:from>
    <xdr:to>
      <xdr:col>5</xdr:col>
      <xdr:colOff>171930</xdr:colOff>
      <xdr:row>77</xdr:row>
      <xdr:rowOff>117435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id="{5ECA5268-E5C2-4973-80E5-152653335E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71600" y="13011150"/>
          <a:ext cx="4820130" cy="128901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190500</xdr:colOff>
      <xdr:row>0</xdr:row>
      <xdr:rowOff>66675</xdr:rowOff>
    </xdr:from>
    <xdr:to>
      <xdr:col>14</xdr:col>
      <xdr:colOff>858610</xdr:colOff>
      <xdr:row>4</xdr:row>
      <xdr:rowOff>27214</xdr:rowOff>
    </xdr:to>
    <xdr:pic>
      <xdr:nvPicPr>
        <xdr:cNvPr id="2" name="Imagem 1" descr="MARCA-DAGUA">
          <a:extLst>
            <a:ext uri="{FF2B5EF4-FFF2-40B4-BE49-F238E27FC236}">
              <a16:creationId xmlns:a16="http://schemas.microsoft.com/office/drawing/2014/main" id="{FF0BC98E-06D0-4124-8EB1-E4EBBF2258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15175" y="66675"/>
          <a:ext cx="1839685" cy="6082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2324100</xdr:colOff>
      <xdr:row>184</xdr:row>
      <xdr:rowOff>9525</xdr:rowOff>
    </xdr:from>
    <xdr:to>
      <xdr:col>12</xdr:col>
      <xdr:colOff>667230</xdr:colOff>
      <xdr:row>190</xdr:row>
      <xdr:rowOff>155535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B1A70979-76DE-4864-8B45-D881F33CAE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771775" y="8515350"/>
          <a:ext cx="4820130" cy="128901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152400</xdr:colOff>
      <xdr:row>0</xdr:row>
      <xdr:rowOff>0</xdr:rowOff>
    </xdr:from>
    <xdr:to>
      <xdr:col>9</xdr:col>
      <xdr:colOff>0</xdr:colOff>
      <xdr:row>0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94AA7037-6DEB-4324-80CE-9A7C67657062}"/>
            </a:ext>
          </a:extLst>
        </xdr:cNvPr>
        <xdr:cNvSpPr txBox="1">
          <a:spLocks noChangeArrowheads="1"/>
        </xdr:cNvSpPr>
      </xdr:nvSpPr>
      <xdr:spPr bwMode="auto">
        <a:xfrm>
          <a:off x="3314700" y="0"/>
          <a:ext cx="3923917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pt-BR" sz="1000" b="0" i="0" u="none" strike="noStrike" baseline="0">
              <a:solidFill>
                <a:srgbClr val="000000"/>
              </a:solidFill>
              <a:latin typeface="Bodoni MT"/>
            </a:rPr>
            <a:t>        Jorge Otoch Junior                                                                                       José Rêgo Filho                                                            </a:t>
          </a:r>
        </a:p>
        <a:p>
          <a:pPr algn="l" rtl="0">
            <a:defRPr sz="1000"/>
          </a:pPr>
          <a:r>
            <a:rPr lang="pt-BR" sz="1000" b="0" i="0" u="none" strike="noStrike" baseline="0">
              <a:solidFill>
                <a:srgbClr val="000000"/>
              </a:solidFill>
              <a:latin typeface="Bodoni MT"/>
            </a:rPr>
            <a:t>    Diretor Adm. Financeiro                                                                            Diretor Presidente                                                     </a:t>
          </a:r>
        </a:p>
        <a:p>
          <a:pPr algn="l" rtl="0">
            <a:defRPr sz="1000"/>
          </a:pPr>
          <a:r>
            <a:rPr lang="pt-BR" sz="1000" b="0" i="0" u="none" strike="noStrike" baseline="0">
              <a:solidFill>
                <a:srgbClr val="000000"/>
              </a:solidFill>
              <a:latin typeface="Bodoni MT"/>
            </a:rPr>
            <a:t>   </a:t>
          </a:r>
        </a:p>
        <a:p>
          <a:pPr algn="l" rtl="0">
            <a:defRPr sz="1000"/>
          </a:pPr>
          <a:r>
            <a:rPr lang="pt-BR" sz="1000" b="0" i="0" u="none" strike="noStrike" baseline="0">
              <a:solidFill>
                <a:srgbClr val="000000"/>
              </a:solidFill>
              <a:latin typeface="Bodoni MT"/>
            </a:rPr>
            <a:t>                                                              Alyne Valentim Muniz </a:t>
          </a:r>
        </a:p>
        <a:p>
          <a:pPr algn="l" rtl="0">
            <a:defRPr sz="1000"/>
          </a:pPr>
          <a:r>
            <a:rPr lang="pt-BR" sz="1000" b="0" i="0" u="none" strike="noStrike" baseline="0">
              <a:solidFill>
                <a:srgbClr val="000000"/>
              </a:solidFill>
              <a:latin typeface="Bodoni MT"/>
            </a:rPr>
            <a:t>                                                        Contadora CRC-CE 14.700/O-5 </a:t>
          </a:r>
        </a:p>
      </xdr:txBody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0</xdr:colOff>
      <xdr:row>0</xdr:row>
      <xdr:rowOff>0</xdr:rowOff>
    </xdr:to>
    <xdr:pic>
      <xdr:nvPicPr>
        <xdr:cNvPr id="3" name="Picture 4">
          <a:extLst>
            <a:ext uri="{FF2B5EF4-FFF2-40B4-BE49-F238E27FC236}">
              <a16:creationId xmlns:a16="http://schemas.microsoft.com/office/drawing/2014/main" id="{6BB68345-4005-442A-8BC5-17168DC096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467600" y="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123825</xdr:colOff>
      <xdr:row>0</xdr:row>
      <xdr:rowOff>0</xdr:rowOff>
    </xdr:from>
    <xdr:to>
      <xdr:col>1</xdr:col>
      <xdr:colOff>447675</xdr:colOff>
      <xdr:row>0</xdr:row>
      <xdr:rowOff>0</xdr:rowOff>
    </xdr:to>
    <xdr:pic>
      <xdr:nvPicPr>
        <xdr:cNvPr id="4" name="Picture 5">
          <a:extLst>
            <a:ext uri="{FF2B5EF4-FFF2-40B4-BE49-F238E27FC236}">
              <a16:creationId xmlns:a16="http://schemas.microsoft.com/office/drawing/2014/main" id="{61F9CC7C-1963-4245-B1CD-5283BDE535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 b="14444"/>
        <a:stretch>
          <a:fillRect/>
        </a:stretch>
      </xdr:blipFill>
      <xdr:spPr bwMode="auto">
        <a:xfrm>
          <a:off x="123825" y="0"/>
          <a:ext cx="4572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83341</xdr:colOff>
      <xdr:row>0</xdr:row>
      <xdr:rowOff>0</xdr:rowOff>
    </xdr:from>
    <xdr:to>
      <xdr:col>9</xdr:col>
      <xdr:colOff>0</xdr:colOff>
      <xdr:row>3</xdr:row>
      <xdr:rowOff>36739</xdr:rowOff>
    </xdr:to>
    <xdr:pic>
      <xdr:nvPicPr>
        <xdr:cNvPr id="5" name="Imagem 4" descr="MARCA-DAGUA">
          <a:extLst>
            <a:ext uri="{FF2B5EF4-FFF2-40B4-BE49-F238E27FC236}">
              <a16:creationId xmlns:a16="http://schemas.microsoft.com/office/drawing/2014/main" id="{4A1CFEC5-95FE-4494-8F72-04E8C4CA09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07791" y="0"/>
          <a:ext cx="1838327" cy="6082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1209675</xdr:colOff>
      <xdr:row>63</xdr:row>
      <xdr:rowOff>9525</xdr:rowOff>
    </xdr:from>
    <xdr:to>
      <xdr:col>7</xdr:col>
      <xdr:colOff>38580</xdr:colOff>
      <xdr:row>69</xdr:row>
      <xdr:rowOff>155535</xdr:rowOff>
    </xdr:to>
    <xdr:pic>
      <xdr:nvPicPr>
        <xdr:cNvPr id="9" name="Imagem 8">
          <a:extLst>
            <a:ext uri="{FF2B5EF4-FFF2-40B4-BE49-F238E27FC236}">
              <a16:creationId xmlns:a16="http://schemas.microsoft.com/office/drawing/2014/main" id="{62E969E1-B32E-4267-9901-3E3DDAA28F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343025" y="11982450"/>
          <a:ext cx="4820130" cy="128901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egasrv1\Contabil\Balan&#231;os\Exerc&#237;cio%202011\Encerramento\Bal%204&#186;%20Trim%202011_120320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egasrv1\Contabil\Balan&#231;os\Exerc&#237;cio%202012\Encerramento\Bal%204&#186;%20Trim%202012_2802201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egasrv1\GCONT\GCONTADM\Contabil\Balan&#231;os\Exerc&#237;cio%202011\Encerramento\Bal%204&#186;%20Trim%202011_1203201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gerticegas-my.sharepoint.com/GCONTADM/Contabil/Balan&#231;os/Exerc&#237;cio%202017/Demonstra&#231;&#245;es%20Finais/Demonstra&#231;&#245;es%20Publica&#231;&#245;es/2%20Demonstra&#231;&#245;es%20Financeiras%2024_03_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L"/>
      <sheetName val="DRE"/>
      <sheetName val="DRE-MÊS-TRIMESTRE-APURA-IR-CSLL"/>
      <sheetName val="DRE-Trim-Anual-Cons.Adm"/>
      <sheetName val="LALUR"/>
      <sheetName val="LALUR-TRIMESTRAL"/>
      <sheetName val="DEM_Apuração CSLL - IRPJ"/>
      <sheetName val="DEM-TRIMESTRAL"/>
      <sheetName val="DMPL"/>
      <sheetName val="DFC-MENSAL"/>
      <sheetName val="DFC-ACUMULADA"/>
      <sheetName val="DFC"/>
      <sheetName val="DVA"/>
      <sheetName val="DVA comparativa"/>
    </sheetNames>
    <sheetDataSet>
      <sheetData sheetId="0" refreshError="1"/>
      <sheetData sheetId="1" refreshError="1"/>
      <sheetData sheetId="2" refreshError="1"/>
      <sheetData sheetId="3" refreshError="1">
        <row r="10">
          <cell r="E10">
            <v>302382478.10999995</v>
          </cell>
        </row>
        <row r="12">
          <cell r="E12">
            <v>-87979498.610000014</v>
          </cell>
        </row>
        <row r="22">
          <cell r="E22">
            <v>-1687844.1000000006</v>
          </cell>
        </row>
        <row r="23">
          <cell r="E23">
            <v>-2595400.15</v>
          </cell>
        </row>
        <row r="24">
          <cell r="E24">
            <v>-10199806.58</v>
          </cell>
        </row>
        <row r="25">
          <cell r="E25">
            <v>-2896356.51</v>
          </cell>
        </row>
        <row r="26">
          <cell r="E26">
            <v>-1853622.73</v>
          </cell>
        </row>
        <row r="27">
          <cell r="E27">
            <v>3009604.5299999993</v>
          </cell>
        </row>
        <row r="30">
          <cell r="E30">
            <v>10457822.17</v>
          </cell>
        </row>
        <row r="31">
          <cell r="E31">
            <v>-7183794.8200000003</v>
          </cell>
        </row>
        <row r="34">
          <cell r="E34">
            <v>-2530142.54</v>
          </cell>
        </row>
        <row r="35">
          <cell r="E35">
            <v>-4228084.6000000006</v>
          </cell>
        </row>
        <row r="36">
          <cell r="E36">
            <v>-2794723.06</v>
          </cell>
        </row>
        <row r="37">
          <cell r="E37">
            <v>229707.97999999992</v>
          </cell>
        </row>
        <row r="38">
          <cell r="E38">
            <v>4525612.92</v>
          </cell>
        </row>
        <row r="39">
          <cell r="E39">
            <v>4971.2499999999991</v>
          </cell>
        </row>
        <row r="40">
          <cell r="E40">
            <v>30000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53">
          <cell r="E53">
            <v>554457.05000000144</v>
          </cell>
        </row>
        <row r="54">
          <cell r="E54">
            <v>-5026347.1300000008</v>
          </cell>
        </row>
        <row r="55">
          <cell r="E55">
            <v>-38813681.119999997</v>
          </cell>
        </row>
        <row r="56">
          <cell r="E56">
            <v>-3213599.3500000015</v>
          </cell>
        </row>
      </sheetData>
      <sheetData sheetId="12" refreshError="1"/>
      <sheetData sheetId="1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L"/>
      <sheetName val="DRE"/>
      <sheetName val="DRE-MÊS-TRIMESTRE-APURA-IR-CSLL"/>
      <sheetName val="DRE-Trim-Anual-Cons.Adm"/>
      <sheetName val="LALUR"/>
      <sheetName val="LALUR-TRIMESTRAL"/>
      <sheetName val="DEM_Apuração CSLL - IRPJ"/>
      <sheetName val="DEM-TRIMESTRAL"/>
      <sheetName val="DMPL"/>
      <sheetName val="DFC-MENSAL"/>
      <sheetName val="DFC-ACUMULADA"/>
      <sheetName val="DFC"/>
      <sheetName val="nova DFC"/>
      <sheetName val="DVA"/>
      <sheetName val="DVA comparativa"/>
    </sheetNames>
    <sheetDataSet>
      <sheetData sheetId="0"/>
      <sheetData sheetId="1"/>
      <sheetData sheetId="2"/>
      <sheetData sheetId="3">
        <row r="38">
          <cell r="E38">
            <v>7333545.8100000005</v>
          </cell>
        </row>
        <row r="39">
          <cell r="E39">
            <v>4649.3999999999987</v>
          </cell>
        </row>
        <row r="40">
          <cell r="E40">
            <v>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L"/>
      <sheetName val="DRE"/>
      <sheetName val="DRE-MÊS-TRIMESTRE-APURA-IR-CSLL"/>
      <sheetName val="DRE-Trim-Anual-Cons.Adm"/>
      <sheetName val="LALUR"/>
      <sheetName val="LALUR-TRIMESTRAL"/>
      <sheetName val="DEM_Apuração CSLL - IRPJ"/>
      <sheetName val="DEM-TRIMESTRAL"/>
      <sheetName val="DMPL"/>
      <sheetName val="DFC-MENSAL"/>
      <sheetName val="DFC-ACUMULADA"/>
      <sheetName val="DFC"/>
      <sheetName val="DVA"/>
      <sheetName val="DVA comparativa"/>
    </sheetNames>
    <sheetDataSet>
      <sheetData sheetId="0" refreshError="1"/>
      <sheetData sheetId="1" refreshError="1"/>
      <sheetData sheetId="2" refreshError="1"/>
      <sheetData sheetId="3" refreshError="1">
        <row r="33">
          <cell r="E33">
            <v>27203282.369999945</v>
          </cell>
        </row>
        <row r="41">
          <cell r="E41">
            <v>5026347.1300000008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LANÇO"/>
      <sheetName val="DRE"/>
      <sheetName val="DRA"/>
      <sheetName val="DMPL"/>
      <sheetName val="DFC"/>
      <sheetName val="ORIGENS"/>
      <sheetName val="DOAR"/>
      <sheetName val="DVA"/>
      <sheetName val="Assinatura"/>
      <sheetName val="MEMORIA DE CALCULO"/>
    </sheetNames>
    <sheetDataSet>
      <sheetData sheetId="0">
        <row r="15">
          <cell r="F15">
            <v>77690893</v>
          </cell>
          <cell r="G15">
            <v>47332416</v>
          </cell>
          <cell r="Q15">
            <v>52527567</v>
          </cell>
          <cell r="R15">
            <v>41117894</v>
          </cell>
        </row>
        <row r="16">
          <cell r="F16">
            <v>1028776</v>
          </cell>
          <cell r="G16">
            <v>12449510</v>
          </cell>
        </row>
        <row r="17">
          <cell r="F17">
            <v>72849946</v>
          </cell>
          <cell r="G17">
            <v>59404576</v>
          </cell>
          <cell r="Q17">
            <v>1969184</v>
          </cell>
          <cell r="R17">
            <v>1150591</v>
          </cell>
        </row>
        <row r="19">
          <cell r="F19">
            <v>534382</v>
          </cell>
          <cell r="G19">
            <v>432218</v>
          </cell>
          <cell r="Q19">
            <v>397818</v>
          </cell>
          <cell r="R19">
            <v>1250027</v>
          </cell>
        </row>
        <row r="20">
          <cell r="F20">
            <v>516402</v>
          </cell>
          <cell r="G20">
            <v>1031721</v>
          </cell>
        </row>
        <row r="21">
          <cell r="F21">
            <v>29883</v>
          </cell>
          <cell r="G21">
            <v>9183485</v>
          </cell>
          <cell r="Q21">
            <v>1014478</v>
          </cell>
          <cell r="R21">
            <v>922808</v>
          </cell>
        </row>
        <row r="22">
          <cell r="F22">
            <v>217572</v>
          </cell>
          <cell r="G22">
            <v>722104</v>
          </cell>
          <cell r="Q22">
            <v>24111977</v>
          </cell>
          <cell r="R22">
            <v>34605179</v>
          </cell>
        </row>
        <row r="23">
          <cell r="F23">
            <v>85767</v>
          </cell>
          <cell r="G23">
            <v>51828</v>
          </cell>
          <cell r="Q23">
            <v>280352</v>
          </cell>
          <cell r="R23">
            <v>149678</v>
          </cell>
        </row>
        <row r="30">
          <cell r="Q30">
            <v>33030793</v>
          </cell>
          <cell r="R30">
            <v>30239622</v>
          </cell>
        </row>
        <row r="32">
          <cell r="Q32">
            <v>11003547</v>
          </cell>
          <cell r="R32">
            <v>0</v>
          </cell>
        </row>
        <row r="34">
          <cell r="F34">
            <v>2028831</v>
          </cell>
          <cell r="G34">
            <v>0</v>
          </cell>
        </row>
        <row r="35">
          <cell r="F35">
            <v>9398180</v>
          </cell>
        </row>
      </sheetData>
      <sheetData sheetId="1">
        <row r="42">
          <cell r="J42">
            <v>51672042</v>
          </cell>
        </row>
        <row r="46">
          <cell r="J46">
            <v>-16302238</v>
          </cell>
        </row>
        <row r="49">
          <cell r="J49">
            <v>9033043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>
        <row r="16">
          <cell r="K16">
            <v>23370788</v>
          </cell>
        </row>
        <row r="22">
          <cell r="K22">
            <v>-4301</v>
          </cell>
        </row>
        <row r="40">
          <cell r="K40">
            <v>6523210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A4A81A-2463-49B8-876C-76239468E169}">
  <sheetPr>
    <tabColor rgb="FF00B0F0"/>
    <pageSetUpPr fitToPage="1"/>
  </sheetPr>
  <dimension ref="A3:CE61"/>
  <sheetViews>
    <sheetView showGridLines="0" tabSelected="1" zoomScale="85" zoomScaleNormal="85" zoomScaleSheetLayoutView="100" workbookViewId="0">
      <selection activeCell="P7" sqref="P7"/>
    </sheetView>
  </sheetViews>
  <sheetFormatPr defaultColWidth="11.42578125" defaultRowHeight="19.5" x14ac:dyDescent="0.4"/>
  <cols>
    <col min="1" max="1" width="2" style="1" customWidth="1"/>
    <col min="2" max="2" width="42.7109375" style="2" customWidth="1"/>
    <col min="3" max="3" width="15.85546875" style="2" bestFit="1" customWidth="1"/>
    <col min="4" max="4" width="17.28515625" style="3" customWidth="1"/>
    <col min="5" max="5" width="15.5703125" style="3" customWidth="1"/>
    <col min="6" max="6" width="5.85546875" style="5" customWidth="1"/>
    <col min="7" max="7" width="1.7109375" style="6" customWidth="1"/>
    <col min="8" max="8" width="42" style="6" customWidth="1"/>
    <col min="9" max="9" width="13.7109375" style="6" customWidth="1"/>
    <col min="10" max="10" width="20.42578125" style="6" customWidth="1"/>
    <col min="11" max="11" width="19.28515625" style="6" customWidth="1"/>
    <col min="12" max="12" width="15.42578125" style="6" bestFit="1" customWidth="1"/>
    <col min="13" max="14" width="18.85546875" style="6" bestFit="1" customWidth="1"/>
    <col min="15" max="83" width="11.42578125" style="6"/>
    <col min="84" max="16384" width="11.42578125" style="1"/>
  </cols>
  <sheetData>
    <row r="3" spans="1:83" x14ac:dyDescent="0.4">
      <c r="E3" s="4"/>
    </row>
    <row r="4" spans="1:83" ht="15" customHeight="1" x14ac:dyDescent="0.4">
      <c r="A4" s="195" t="s">
        <v>0</v>
      </c>
      <c r="B4" s="195"/>
      <c r="C4" s="195"/>
      <c r="D4" s="195"/>
      <c r="E4" s="195"/>
      <c r="F4" s="7"/>
      <c r="G4" s="8"/>
      <c r="H4" s="8"/>
      <c r="I4" s="8"/>
      <c r="J4" s="8"/>
      <c r="K4" s="8"/>
    </row>
    <row r="5" spans="1:83" ht="15" customHeight="1" x14ac:dyDescent="0.4">
      <c r="A5" s="9" t="s">
        <v>230</v>
      </c>
      <c r="B5" s="9"/>
      <c r="C5" s="9"/>
      <c r="D5" s="9"/>
      <c r="E5" s="9"/>
      <c r="F5" s="7"/>
      <c r="G5" s="8"/>
      <c r="H5" s="8"/>
      <c r="I5" s="8"/>
      <c r="J5" s="8"/>
      <c r="K5" s="8"/>
    </row>
    <row r="6" spans="1:83" ht="15" customHeight="1" x14ac:dyDescent="0.4">
      <c r="A6" s="196"/>
      <c r="B6" s="196"/>
      <c r="C6" s="196"/>
      <c r="D6" s="196"/>
      <c r="E6" s="196"/>
      <c r="F6" s="196"/>
      <c r="G6" s="196"/>
      <c r="H6" s="196"/>
      <c r="I6" s="196"/>
      <c r="J6" s="196"/>
      <c r="K6" s="196"/>
    </row>
    <row r="7" spans="1:83" ht="15" customHeight="1" x14ac:dyDescent="0.4">
      <c r="A7" s="197" t="s">
        <v>1</v>
      </c>
      <c r="B7" s="197"/>
      <c r="C7" s="197"/>
      <c r="D7" s="197"/>
      <c r="E7" s="197"/>
      <c r="F7" s="10"/>
      <c r="G7" s="11"/>
      <c r="H7" s="11"/>
      <c r="I7" s="11"/>
      <c r="J7" s="12"/>
      <c r="K7" s="12"/>
    </row>
    <row r="8" spans="1:83" ht="15" customHeight="1" x14ac:dyDescent="0.4">
      <c r="A8" s="13"/>
      <c r="B8" s="14"/>
      <c r="C8" s="14"/>
      <c r="D8" s="15"/>
      <c r="E8" s="15"/>
      <c r="F8" s="7"/>
      <c r="G8" s="8"/>
      <c r="H8" s="8"/>
      <c r="I8" s="8"/>
      <c r="J8" s="8"/>
      <c r="K8" s="8"/>
    </row>
    <row r="9" spans="1:83" ht="15" customHeight="1" x14ac:dyDescent="0.4">
      <c r="A9" s="16" t="s">
        <v>2</v>
      </c>
      <c r="B9" s="16"/>
      <c r="C9" s="192" t="s">
        <v>3</v>
      </c>
      <c r="D9" s="193">
        <v>44561</v>
      </c>
      <c r="E9" s="193">
        <v>44196</v>
      </c>
      <c r="F9" s="7"/>
      <c r="G9" s="16" t="s">
        <v>4</v>
      </c>
      <c r="H9" s="16"/>
      <c r="I9" s="192" t="s">
        <v>3</v>
      </c>
      <c r="J9" s="193">
        <v>44561</v>
      </c>
      <c r="K9" s="193">
        <v>44196</v>
      </c>
    </row>
    <row r="10" spans="1:83" ht="15" customHeight="1" x14ac:dyDescent="0.4">
      <c r="A10" s="16"/>
      <c r="B10" s="16"/>
      <c r="C10" s="192" t="s">
        <v>5</v>
      </c>
      <c r="D10" s="194"/>
      <c r="E10" s="194"/>
      <c r="F10" s="7"/>
      <c r="G10" s="16"/>
      <c r="H10" s="16"/>
      <c r="I10" s="192" t="s">
        <v>5</v>
      </c>
      <c r="J10" s="194"/>
      <c r="K10" s="194"/>
    </row>
    <row r="11" spans="1:83" ht="15" customHeight="1" x14ac:dyDescent="0.4">
      <c r="A11" s="13"/>
      <c r="B11" s="17"/>
      <c r="C11" s="18"/>
      <c r="D11" s="19"/>
      <c r="E11" s="19"/>
      <c r="F11" s="19"/>
      <c r="G11" s="13"/>
      <c r="H11" s="17"/>
      <c r="I11" s="20"/>
      <c r="J11" s="21"/>
      <c r="K11" s="21"/>
    </row>
    <row r="12" spans="1:83" ht="15" customHeight="1" x14ac:dyDescent="0.4">
      <c r="A12" s="16" t="s">
        <v>6</v>
      </c>
      <c r="B12" s="17"/>
      <c r="C12" s="22"/>
      <c r="D12" s="21"/>
      <c r="E12" s="21"/>
      <c r="F12" s="23"/>
      <c r="G12" s="16" t="s">
        <v>6</v>
      </c>
      <c r="H12" s="17"/>
      <c r="I12" s="20"/>
      <c r="J12" s="24"/>
      <c r="K12" s="24"/>
      <c r="M12" s="25"/>
      <c r="N12" s="25"/>
    </row>
    <row r="13" spans="1:83" ht="8.1" customHeight="1" x14ac:dyDescent="0.4">
      <c r="A13" s="13"/>
      <c r="B13" s="16"/>
      <c r="C13" s="22"/>
      <c r="D13" s="23"/>
      <c r="E13" s="23"/>
      <c r="F13" s="23"/>
      <c r="G13" s="13"/>
      <c r="H13" s="16"/>
      <c r="I13" s="26"/>
      <c r="J13" s="27"/>
      <c r="K13" s="27"/>
      <c r="M13" s="25"/>
      <c r="N13" s="25"/>
    </row>
    <row r="14" spans="1:83" ht="15" customHeight="1" x14ac:dyDescent="0.4">
      <c r="A14" s="13"/>
      <c r="B14" s="17" t="s">
        <v>7</v>
      </c>
      <c r="C14" s="22" t="s">
        <v>8</v>
      </c>
      <c r="D14" s="21">
        <v>96327</v>
      </c>
      <c r="E14" s="21">
        <v>109862</v>
      </c>
      <c r="F14" s="21"/>
      <c r="G14" s="13"/>
      <c r="H14" s="17" t="s">
        <v>9</v>
      </c>
      <c r="I14" s="22" t="s">
        <v>142</v>
      </c>
      <c r="J14" s="28">
        <v>84025</v>
      </c>
      <c r="K14" s="28">
        <v>42562</v>
      </c>
      <c r="L14" s="24"/>
      <c r="M14" s="28"/>
      <c r="N14" s="28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24"/>
      <c r="AR14" s="24"/>
      <c r="AS14" s="24"/>
      <c r="AT14" s="24"/>
      <c r="AU14" s="24"/>
      <c r="AV14" s="24"/>
      <c r="AW14" s="24"/>
      <c r="AX14" s="24"/>
      <c r="AY14" s="24"/>
      <c r="AZ14" s="24"/>
      <c r="BA14" s="24"/>
      <c r="BB14" s="24"/>
      <c r="BC14" s="24"/>
      <c r="BD14" s="24"/>
      <c r="BE14" s="24"/>
      <c r="BF14" s="24"/>
      <c r="BG14" s="24"/>
      <c r="BH14" s="24"/>
      <c r="BI14" s="24"/>
      <c r="BJ14" s="24"/>
      <c r="BK14" s="24"/>
      <c r="BL14" s="24"/>
      <c r="BM14" s="24"/>
      <c r="BN14" s="24"/>
      <c r="BO14" s="24"/>
      <c r="BP14" s="24"/>
      <c r="BQ14" s="24"/>
      <c r="BR14" s="24"/>
      <c r="BS14" s="24"/>
      <c r="BT14" s="24"/>
      <c r="BU14" s="24"/>
      <c r="BV14" s="24"/>
      <c r="BW14" s="24"/>
      <c r="BX14" s="24"/>
      <c r="BY14" s="24"/>
      <c r="BZ14" s="24"/>
      <c r="CA14" s="24"/>
      <c r="CB14" s="24"/>
      <c r="CC14" s="24"/>
      <c r="CD14" s="24"/>
      <c r="CE14" s="24"/>
    </row>
    <row r="15" spans="1:83" ht="15" customHeight="1" x14ac:dyDescent="0.4">
      <c r="A15" s="13"/>
      <c r="B15" s="17" t="s">
        <v>10</v>
      </c>
      <c r="C15" s="22" t="s">
        <v>11</v>
      </c>
      <c r="D15" s="21">
        <v>0</v>
      </c>
      <c r="E15" s="21">
        <v>13284</v>
      </c>
      <c r="F15" s="21"/>
      <c r="G15" s="13"/>
      <c r="H15" s="17" t="s">
        <v>12</v>
      </c>
      <c r="I15" s="22" t="s">
        <v>241</v>
      </c>
      <c r="J15" s="28">
        <v>1035</v>
      </c>
      <c r="K15" s="28">
        <v>1714</v>
      </c>
      <c r="L15" s="24"/>
      <c r="M15" s="28"/>
      <c r="N15" s="28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4"/>
      <c r="AT15" s="24"/>
      <c r="AU15" s="24"/>
      <c r="AV15" s="24"/>
      <c r="AW15" s="24"/>
      <c r="AX15" s="24"/>
      <c r="AY15" s="24"/>
      <c r="AZ15" s="24"/>
      <c r="BA15" s="24"/>
      <c r="BB15" s="24"/>
      <c r="BC15" s="24"/>
      <c r="BD15" s="24"/>
      <c r="BE15" s="24"/>
      <c r="BF15" s="24"/>
      <c r="BG15" s="24"/>
      <c r="BH15" s="24"/>
      <c r="BI15" s="24"/>
      <c r="BJ15" s="24"/>
      <c r="BK15" s="24"/>
      <c r="BL15" s="24"/>
      <c r="BM15" s="24"/>
      <c r="BN15" s="24"/>
      <c r="BO15" s="24"/>
      <c r="BP15" s="24"/>
      <c r="BQ15" s="24"/>
      <c r="BR15" s="24"/>
      <c r="BS15" s="24"/>
      <c r="BT15" s="24"/>
      <c r="BU15" s="24"/>
      <c r="BV15" s="24"/>
      <c r="BW15" s="24"/>
      <c r="BX15" s="24"/>
      <c r="BY15" s="24"/>
      <c r="BZ15" s="24"/>
      <c r="CA15" s="24"/>
      <c r="CB15" s="24"/>
      <c r="CC15" s="24"/>
      <c r="CD15" s="24"/>
      <c r="CE15" s="24"/>
    </row>
    <row r="16" spans="1:83" ht="15" customHeight="1" x14ac:dyDescent="0.4">
      <c r="A16" s="13"/>
      <c r="B16" s="17" t="s">
        <v>13</v>
      </c>
      <c r="C16" s="22" t="s">
        <v>237</v>
      </c>
      <c r="D16" s="28">
        <v>53127.07129</v>
      </c>
      <c r="E16" s="28">
        <v>25135</v>
      </c>
      <c r="F16" s="21"/>
      <c r="G16" s="13"/>
      <c r="H16" s="17" t="s">
        <v>14</v>
      </c>
      <c r="I16" s="22"/>
      <c r="J16" s="28">
        <v>10060</v>
      </c>
      <c r="K16" s="28">
        <v>2420</v>
      </c>
      <c r="L16" s="24"/>
      <c r="M16" s="28"/>
      <c r="N16" s="28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24"/>
      <c r="BF16" s="24"/>
      <c r="BG16" s="24"/>
      <c r="BH16" s="24"/>
      <c r="BI16" s="24"/>
      <c r="BJ16" s="24"/>
      <c r="BK16" s="24"/>
      <c r="BL16" s="24"/>
      <c r="BM16" s="24"/>
      <c r="BN16" s="24"/>
      <c r="BO16" s="24"/>
      <c r="BP16" s="24"/>
      <c r="BQ16" s="24"/>
      <c r="BR16" s="24"/>
      <c r="BS16" s="24"/>
      <c r="BT16" s="24"/>
      <c r="BU16" s="24"/>
      <c r="BV16" s="24"/>
      <c r="BW16" s="24"/>
      <c r="BX16" s="24"/>
      <c r="BY16" s="24"/>
      <c r="BZ16" s="24"/>
      <c r="CA16" s="24"/>
      <c r="CB16" s="24"/>
      <c r="CC16" s="24"/>
      <c r="CD16" s="24"/>
      <c r="CE16" s="24"/>
    </row>
    <row r="17" spans="1:14" ht="15" customHeight="1" x14ac:dyDescent="0.4">
      <c r="A17" s="13"/>
      <c r="B17" s="17" t="s">
        <v>234</v>
      </c>
      <c r="C17" s="22" t="s">
        <v>238</v>
      </c>
      <c r="D17" s="28">
        <v>1452.9287100000001</v>
      </c>
      <c r="E17" s="28">
        <v>1293</v>
      </c>
      <c r="F17" s="21"/>
      <c r="G17" s="13"/>
      <c r="H17" s="17" t="s">
        <v>15</v>
      </c>
      <c r="I17" s="22"/>
      <c r="J17" s="28">
        <v>0</v>
      </c>
      <c r="K17" s="28">
        <v>72</v>
      </c>
      <c r="M17" s="21"/>
      <c r="N17" s="21"/>
    </row>
    <row r="18" spans="1:14" ht="15" customHeight="1" x14ac:dyDescent="0.4">
      <c r="A18" s="13"/>
      <c r="B18" s="17" t="s">
        <v>16</v>
      </c>
      <c r="C18" s="22" t="s">
        <v>17</v>
      </c>
      <c r="D18" s="28">
        <v>1238</v>
      </c>
      <c r="E18" s="28">
        <v>789</v>
      </c>
      <c r="F18" s="21"/>
      <c r="G18" s="13"/>
      <c r="H18" s="17" t="s">
        <v>18</v>
      </c>
      <c r="I18" s="22" t="s">
        <v>242</v>
      </c>
      <c r="J18" s="28">
        <v>43</v>
      </c>
      <c r="K18" s="28">
        <v>96</v>
      </c>
      <c r="M18" s="21"/>
      <c r="N18" s="21"/>
    </row>
    <row r="19" spans="1:14" ht="15" customHeight="1" x14ac:dyDescent="0.4">
      <c r="A19" s="13"/>
      <c r="B19" s="17" t="s">
        <v>20</v>
      </c>
      <c r="C19" s="22" t="s">
        <v>239</v>
      </c>
      <c r="D19" s="28">
        <v>5936</v>
      </c>
      <c r="E19" s="28">
        <v>2773</v>
      </c>
      <c r="F19" s="21"/>
      <c r="G19" s="13"/>
      <c r="H19" s="17" t="s">
        <v>21</v>
      </c>
      <c r="I19" s="22" t="s">
        <v>22</v>
      </c>
      <c r="J19" s="28">
        <v>9851</v>
      </c>
      <c r="K19" s="28">
        <v>7457</v>
      </c>
      <c r="M19" s="21"/>
      <c r="N19" s="21"/>
    </row>
    <row r="20" spans="1:14" ht="15" customHeight="1" x14ac:dyDescent="0.4">
      <c r="A20" s="13"/>
      <c r="B20" s="17" t="s">
        <v>23</v>
      </c>
      <c r="C20" s="22" t="s">
        <v>240</v>
      </c>
      <c r="D20" s="28">
        <v>756</v>
      </c>
      <c r="E20" s="28">
        <v>536</v>
      </c>
      <c r="F20" s="21"/>
      <c r="G20" s="13"/>
      <c r="H20" s="17" t="s">
        <v>24</v>
      </c>
      <c r="I20" s="22"/>
      <c r="J20" s="28">
        <v>3821</v>
      </c>
      <c r="K20" s="28">
        <v>9</v>
      </c>
      <c r="M20" s="21"/>
      <c r="N20" s="21"/>
    </row>
    <row r="21" spans="1:14" ht="15" customHeight="1" x14ac:dyDescent="0.4">
      <c r="A21" s="13"/>
      <c r="B21" s="17" t="s">
        <v>26</v>
      </c>
      <c r="C21" s="22" t="s">
        <v>27</v>
      </c>
      <c r="D21" s="28">
        <v>367</v>
      </c>
      <c r="E21" s="28">
        <v>402</v>
      </c>
      <c r="F21" s="21"/>
      <c r="G21" s="13"/>
      <c r="H21" s="17" t="s">
        <v>28</v>
      </c>
      <c r="I21" s="22" t="s">
        <v>243</v>
      </c>
      <c r="J21" s="28">
        <v>2559</v>
      </c>
      <c r="K21" s="28">
        <v>522</v>
      </c>
      <c r="L21" s="21"/>
      <c r="M21" s="21"/>
      <c r="N21" s="21"/>
    </row>
    <row r="22" spans="1:14" ht="15" customHeight="1" x14ac:dyDescent="0.4">
      <c r="A22" s="13"/>
      <c r="B22" s="17" t="s">
        <v>29</v>
      </c>
      <c r="C22" s="22"/>
      <c r="D22" s="28">
        <v>46</v>
      </c>
      <c r="E22" s="28">
        <v>139</v>
      </c>
      <c r="F22" s="21"/>
      <c r="G22" s="13"/>
      <c r="H22" s="17" t="s">
        <v>30</v>
      </c>
      <c r="I22" s="22" t="s">
        <v>31</v>
      </c>
      <c r="J22" s="28">
        <v>237</v>
      </c>
      <c r="K22" s="28">
        <v>8</v>
      </c>
      <c r="M22" s="21"/>
      <c r="N22" s="21"/>
    </row>
    <row r="23" spans="1:14" ht="16.5" customHeight="1" x14ac:dyDescent="0.4">
      <c r="A23" s="13"/>
      <c r="B23" s="16" t="s">
        <v>32</v>
      </c>
      <c r="C23" s="22"/>
      <c r="D23" s="29">
        <v>159250</v>
      </c>
      <c r="E23" s="29">
        <v>154213</v>
      </c>
      <c r="F23" s="21"/>
      <c r="G23" s="13"/>
      <c r="H23" s="17" t="s">
        <v>33</v>
      </c>
      <c r="I23" s="22"/>
      <c r="J23" s="30">
        <v>196</v>
      </c>
      <c r="K23" s="30">
        <v>202</v>
      </c>
      <c r="M23" s="21"/>
      <c r="N23" s="21"/>
    </row>
    <row r="24" spans="1:14" ht="17.25" customHeight="1" x14ac:dyDescent="0.4">
      <c r="A24" s="13"/>
      <c r="D24" s="31"/>
      <c r="E24" s="31"/>
      <c r="H24" s="16" t="s">
        <v>34</v>
      </c>
      <c r="I24" s="22"/>
      <c r="J24" s="27">
        <v>111827</v>
      </c>
      <c r="K24" s="27">
        <v>55062</v>
      </c>
      <c r="M24" s="25"/>
      <c r="N24" s="25"/>
    </row>
    <row r="25" spans="1:14" ht="17.25" customHeight="1" x14ac:dyDescent="0.4">
      <c r="A25" s="13"/>
      <c r="D25" s="32"/>
      <c r="E25" s="32"/>
      <c r="H25" s="16"/>
      <c r="I25" s="22"/>
      <c r="J25" s="33"/>
      <c r="K25" s="33"/>
      <c r="M25" s="25"/>
      <c r="N25" s="25"/>
    </row>
    <row r="26" spans="1:14" x14ac:dyDescent="0.4">
      <c r="A26" s="16" t="s">
        <v>35</v>
      </c>
      <c r="B26" s="13"/>
      <c r="C26" s="34"/>
      <c r="D26" s="1"/>
      <c r="E26" s="1"/>
      <c r="F26" s="21"/>
      <c r="G26" s="16" t="s">
        <v>35</v>
      </c>
      <c r="H26" s="17"/>
      <c r="I26" s="22"/>
      <c r="J26" s="24"/>
      <c r="K26" s="24"/>
      <c r="M26" s="25"/>
      <c r="N26" s="25"/>
    </row>
    <row r="27" spans="1:14" ht="15" customHeight="1" x14ac:dyDescent="0.4">
      <c r="A27" s="17"/>
      <c r="B27" s="17"/>
      <c r="C27" s="22"/>
      <c r="D27" s="28"/>
      <c r="E27" s="28"/>
      <c r="F27" s="23"/>
      <c r="J27" s="24"/>
      <c r="K27" s="24"/>
      <c r="M27" s="25"/>
      <c r="N27" s="25"/>
    </row>
    <row r="28" spans="1:14" x14ac:dyDescent="0.4">
      <c r="A28" s="17"/>
      <c r="B28" s="17" t="s">
        <v>36</v>
      </c>
      <c r="C28" s="22" t="s">
        <v>237</v>
      </c>
      <c r="D28" s="35">
        <v>22936</v>
      </c>
      <c r="E28" s="35">
        <v>23031</v>
      </c>
      <c r="F28" s="23"/>
      <c r="G28" s="13"/>
      <c r="H28" s="17" t="s">
        <v>12</v>
      </c>
      <c r="I28" s="22" t="s">
        <v>241</v>
      </c>
      <c r="J28" s="28">
        <v>29464</v>
      </c>
      <c r="K28" s="28">
        <v>23512</v>
      </c>
      <c r="M28" s="25"/>
      <c r="N28" s="25"/>
    </row>
    <row r="29" spans="1:14" x14ac:dyDescent="0.4">
      <c r="A29" s="17"/>
      <c r="B29" s="17" t="s">
        <v>37</v>
      </c>
      <c r="C29" s="22" t="s">
        <v>239</v>
      </c>
      <c r="D29" s="35">
        <v>4161</v>
      </c>
      <c r="E29" s="35">
        <v>16405</v>
      </c>
      <c r="F29" s="23"/>
      <c r="G29" s="13"/>
      <c r="H29" s="17" t="s">
        <v>28</v>
      </c>
      <c r="I29" s="22" t="s">
        <v>244</v>
      </c>
      <c r="J29" s="28">
        <v>23777</v>
      </c>
      <c r="K29" s="28">
        <v>43713</v>
      </c>
      <c r="M29" s="21"/>
      <c r="N29" s="21"/>
    </row>
    <row r="30" spans="1:14" ht="15" customHeight="1" x14ac:dyDescent="0.4">
      <c r="A30" s="17"/>
      <c r="B30" s="17" t="s">
        <v>39</v>
      </c>
      <c r="C30" s="22" t="s">
        <v>40</v>
      </c>
      <c r="D30" s="35">
        <v>76351</v>
      </c>
      <c r="E30" s="35">
        <v>49486</v>
      </c>
      <c r="F30" s="21"/>
      <c r="G30" s="13"/>
      <c r="H30" s="17" t="s">
        <v>30</v>
      </c>
      <c r="I30" s="22" t="s">
        <v>31</v>
      </c>
      <c r="J30" s="28">
        <v>12306</v>
      </c>
      <c r="K30" s="28">
        <v>48595</v>
      </c>
      <c r="M30" s="21"/>
      <c r="N30" s="21"/>
    </row>
    <row r="31" spans="1:14" ht="15" customHeight="1" x14ac:dyDescent="0.4">
      <c r="A31" s="17"/>
      <c r="B31" s="17" t="s">
        <v>42</v>
      </c>
      <c r="C31" s="22" t="s">
        <v>43</v>
      </c>
      <c r="D31" s="35">
        <v>2630</v>
      </c>
      <c r="E31" s="35">
        <v>1149</v>
      </c>
      <c r="F31" s="21"/>
      <c r="G31" s="13"/>
      <c r="H31" s="17" t="s">
        <v>38</v>
      </c>
      <c r="I31" s="22"/>
      <c r="J31" s="30">
        <v>120</v>
      </c>
      <c r="K31" s="30">
        <v>167</v>
      </c>
      <c r="M31" s="21"/>
      <c r="N31" s="21"/>
    </row>
    <row r="32" spans="1:14" ht="15" customHeight="1" x14ac:dyDescent="0.4">
      <c r="B32" s="17" t="s">
        <v>45</v>
      </c>
      <c r="C32" s="22"/>
      <c r="D32" s="35">
        <v>1</v>
      </c>
      <c r="E32" s="35">
        <v>1</v>
      </c>
      <c r="F32" s="21"/>
      <c r="G32" s="1"/>
      <c r="H32" s="16" t="s">
        <v>41</v>
      </c>
      <c r="J32" s="27">
        <v>65667</v>
      </c>
      <c r="K32" s="27">
        <v>115987</v>
      </c>
      <c r="M32" s="21"/>
      <c r="N32" s="21"/>
    </row>
    <row r="33" spans="1:83" ht="15" customHeight="1" x14ac:dyDescent="0.4">
      <c r="B33" s="17" t="s">
        <v>46</v>
      </c>
      <c r="C33" s="22" t="s">
        <v>49</v>
      </c>
      <c r="D33" s="35">
        <v>13958</v>
      </c>
      <c r="E33" s="35">
        <v>10384</v>
      </c>
      <c r="F33" s="21"/>
      <c r="G33" s="17"/>
      <c r="J33" s="36"/>
      <c r="K33" s="36"/>
      <c r="M33" s="25"/>
      <c r="N33" s="25"/>
    </row>
    <row r="34" spans="1:83" ht="15" customHeight="1" x14ac:dyDescent="0.4">
      <c r="A34" s="17"/>
      <c r="B34" s="17" t="s">
        <v>48</v>
      </c>
      <c r="C34" s="22" t="s">
        <v>235</v>
      </c>
      <c r="D34" s="35">
        <v>151850</v>
      </c>
      <c r="E34" s="35">
        <v>140394</v>
      </c>
      <c r="F34" s="21"/>
      <c r="G34" s="16" t="s">
        <v>44</v>
      </c>
      <c r="J34" s="27">
        <v>177494</v>
      </c>
      <c r="K34" s="27">
        <v>171049</v>
      </c>
      <c r="M34" s="25"/>
      <c r="N34" s="25"/>
    </row>
    <row r="35" spans="1:83" ht="15" customHeight="1" x14ac:dyDescent="0.4">
      <c r="A35" s="17"/>
      <c r="B35" s="9" t="s">
        <v>52</v>
      </c>
      <c r="C35" s="20"/>
      <c r="D35" s="27">
        <v>271887</v>
      </c>
      <c r="E35" s="27">
        <v>240850</v>
      </c>
      <c r="F35" s="13"/>
      <c r="J35" s="24"/>
      <c r="K35" s="24"/>
      <c r="M35" s="25"/>
      <c r="N35" s="25"/>
    </row>
    <row r="36" spans="1:83" ht="15" customHeight="1" x14ac:dyDescent="0.4">
      <c r="A36" s="13"/>
      <c r="D36" s="32"/>
      <c r="E36" s="32"/>
      <c r="G36" s="16" t="s">
        <v>47</v>
      </c>
      <c r="I36" s="22"/>
      <c r="J36" s="24"/>
      <c r="K36" s="24"/>
      <c r="M36" s="25"/>
      <c r="N36" s="25"/>
    </row>
    <row r="37" spans="1:83" ht="16.5" customHeight="1" x14ac:dyDescent="0.4">
      <c r="A37" s="20"/>
      <c r="D37" s="32"/>
      <c r="E37" s="32"/>
      <c r="F37" s="21"/>
      <c r="G37" s="13"/>
      <c r="H37" s="17" t="s">
        <v>50</v>
      </c>
      <c r="I37" s="22" t="s">
        <v>25</v>
      </c>
      <c r="J37" s="28">
        <f>161300-1</f>
        <v>161299</v>
      </c>
      <c r="K37" s="28">
        <v>148660</v>
      </c>
      <c r="M37" s="25"/>
      <c r="N37" s="25"/>
    </row>
    <row r="38" spans="1:83" ht="15" customHeight="1" x14ac:dyDescent="0.4">
      <c r="A38" s="13"/>
      <c r="D38" s="32"/>
      <c r="E38" s="32"/>
      <c r="F38" s="13"/>
      <c r="G38" s="13"/>
      <c r="H38" s="17" t="s">
        <v>53</v>
      </c>
      <c r="I38" s="22" t="s">
        <v>19</v>
      </c>
      <c r="J38" s="28">
        <f>48656+1</f>
        <v>48657</v>
      </c>
      <c r="K38" s="28">
        <v>43143</v>
      </c>
      <c r="M38" s="25"/>
      <c r="N38" s="25"/>
    </row>
    <row r="39" spans="1:83" ht="15" customHeight="1" x14ac:dyDescent="0.4">
      <c r="D39" s="32"/>
      <c r="E39" s="32"/>
      <c r="F39" s="7"/>
      <c r="H39" s="17" t="s">
        <v>55</v>
      </c>
      <c r="I39" s="22" t="s">
        <v>22</v>
      </c>
      <c r="J39" s="28">
        <v>43687</v>
      </c>
      <c r="K39" s="28">
        <v>32211</v>
      </c>
      <c r="M39" s="25"/>
      <c r="N39" s="25"/>
    </row>
    <row r="40" spans="1:83" ht="15" customHeight="1" x14ac:dyDescent="0.4">
      <c r="A40" s="13"/>
      <c r="D40" s="37"/>
      <c r="E40" s="37"/>
      <c r="F40" s="7"/>
      <c r="H40" s="16" t="s">
        <v>56</v>
      </c>
      <c r="J40" s="27">
        <v>253643</v>
      </c>
      <c r="K40" s="27">
        <v>224014</v>
      </c>
      <c r="M40" s="25"/>
      <c r="N40" s="25"/>
    </row>
    <row r="41" spans="1:83" ht="6" customHeight="1" x14ac:dyDescent="0.4">
      <c r="J41" s="24"/>
      <c r="K41" s="24"/>
    </row>
    <row r="42" spans="1:83" ht="6" customHeight="1" x14ac:dyDescent="0.4">
      <c r="J42" s="24"/>
      <c r="K42" s="24"/>
    </row>
    <row r="43" spans="1:83" ht="19.5" customHeight="1" x14ac:dyDescent="0.4">
      <c r="A43" s="16" t="s">
        <v>57</v>
      </c>
      <c r="B43" s="13"/>
      <c r="D43" s="27">
        <v>431137</v>
      </c>
      <c r="E43" s="23">
        <v>395063</v>
      </c>
      <c r="F43" s="7"/>
      <c r="G43" s="16" t="s">
        <v>58</v>
      </c>
      <c r="H43" s="17"/>
      <c r="I43" s="17"/>
      <c r="J43" s="27">
        <v>431137</v>
      </c>
      <c r="K43" s="27">
        <v>395063</v>
      </c>
      <c r="M43" s="25"/>
      <c r="N43" s="25"/>
    </row>
    <row r="44" spans="1:83" ht="15" customHeight="1" x14ac:dyDescent="0.4">
      <c r="A44" s="38" t="s">
        <v>102</v>
      </c>
      <c r="B44" s="38"/>
      <c r="C44" s="185"/>
      <c r="D44" s="39"/>
      <c r="E44" s="39"/>
      <c r="F44" s="10"/>
      <c r="G44" s="11"/>
      <c r="H44" s="11"/>
      <c r="I44" s="11"/>
      <c r="J44" s="11"/>
      <c r="K44" s="11"/>
    </row>
    <row r="45" spans="1:83" s="40" customFormat="1" ht="15" customHeight="1" x14ac:dyDescent="0.2">
      <c r="C45" s="186"/>
      <c r="D45" s="41"/>
      <c r="E45" s="42"/>
      <c r="F45" s="42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</row>
    <row r="46" spans="1:83" s="40" customFormat="1" ht="15" customHeight="1" x14ac:dyDescent="0.2">
      <c r="B46" s="44"/>
      <c r="C46" s="187"/>
      <c r="D46" s="45"/>
      <c r="F46" s="42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</row>
    <row r="47" spans="1:83" ht="15" customHeight="1" x14ac:dyDescent="0.4">
      <c r="A47" s="40"/>
      <c r="B47" s="40"/>
      <c r="C47" s="44"/>
      <c r="D47" s="40"/>
      <c r="E47" s="40"/>
      <c r="F47" s="40"/>
      <c r="G47" s="40"/>
      <c r="H47" s="42"/>
      <c r="I47" s="42"/>
      <c r="J47" s="42"/>
      <c r="K47" s="43"/>
      <c r="L47" s="43"/>
      <c r="M47" s="43"/>
      <c r="N47" s="43"/>
      <c r="O47" s="43"/>
      <c r="P47" s="43"/>
      <c r="Q47" s="43"/>
    </row>
    <row r="48" spans="1:83" ht="15" customHeight="1" x14ac:dyDescent="0.4">
      <c r="C48" s="40"/>
      <c r="D48" s="46"/>
      <c r="E48" s="47"/>
      <c r="F48" s="47"/>
      <c r="G48" s="47"/>
      <c r="H48" s="3"/>
      <c r="I48" s="3"/>
      <c r="J48" s="5"/>
    </row>
    <row r="49" spans="2:16" ht="15" customHeight="1" x14ac:dyDescent="0.4">
      <c r="D49" s="47"/>
      <c r="E49" s="47"/>
      <c r="F49" s="47"/>
      <c r="G49" s="47"/>
      <c r="H49" s="3"/>
      <c r="I49" s="3"/>
      <c r="J49" s="5"/>
    </row>
    <row r="50" spans="2:16" x14ac:dyDescent="0.4">
      <c r="F50" s="3"/>
      <c r="G50" s="3"/>
      <c r="H50" s="3"/>
      <c r="I50" s="3"/>
      <c r="J50" s="5"/>
    </row>
    <row r="51" spans="2:16" x14ac:dyDescent="0.4">
      <c r="B51" s="48" t="s">
        <v>59</v>
      </c>
      <c r="F51" s="3"/>
      <c r="G51" s="3"/>
      <c r="H51" s="3"/>
      <c r="I51" s="3"/>
      <c r="J51" s="5"/>
    </row>
    <row r="52" spans="2:16" x14ac:dyDescent="0.4">
      <c r="B52" s="49" t="s">
        <v>60</v>
      </c>
      <c r="F52" s="3"/>
      <c r="G52" s="3"/>
      <c r="H52" s="3"/>
      <c r="I52" s="3"/>
      <c r="J52" s="5"/>
    </row>
    <row r="53" spans="2:16" x14ac:dyDescent="0.4">
      <c r="B53" s="49" t="s">
        <v>61</v>
      </c>
      <c r="F53" s="3"/>
      <c r="G53" s="3"/>
      <c r="H53" s="3"/>
      <c r="I53" s="3"/>
      <c r="J53" s="5"/>
      <c r="L53" s="50"/>
    </row>
    <row r="54" spans="2:16" x14ac:dyDescent="0.4">
      <c r="F54" s="3"/>
      <c r="G54" s="3"/>
      <c r="H54" s="3"/>
      <c r="I54" s="3"/>
      <c r="J54" s="5"/>
      <c r="K54" s="150">
        <v>1</v>
      </c>
      <c r="L54" s="150"/>
      <c r="P54" s="21"/>
    </row>
    <row r="55" spans="2:16" x14ac:dyDescent="0.4">
      <c r="F55" s="3"/>
      <c r="G55" s="3"/>
      <c r="H55" s="3"/>
      <c r="I55" s="3"/>
      <c r="J55" s="5"/>
    </row>
    <row r="56" spans="2:16" x14ac:dyDescent="0.4">
      <c r="F56" s="3"/>
      <c r="G56" s="3"/>
      <c r="H56" s="3"/>
      <c r="I56" s="3"/>
      <c r="J56" s="5"/>
      <c r="L56" s="7"/>
      <c r="N56" s="7"/>
      <c r="O56" s="17"/>
    </row>
    <row r="57" spans="2:16" x14ac:dyDescent="0.4">
      <c r="F57" s="3"/>
      <c r="G57" s="3"/>
      <c r="H57" s="3"/>
      <c r="I57" s="3"/>
      <c r="J57" s="5"/>
    </row>
    <row r="58" spans="2:16" x14ac:dyDescent="0.4">
      <c r="F58" s="3"/>
      <c r="G58" s="3"/>
      <c r="H58" s="3"/>
      <c r="I58" s="3"/>
      <c r="J58" s="5"/>
    </row>
    <row r="59" spans="2:16" x14ac:dyDescent="0.4">
      <c r="F59" s="3"/>
      <c r="G59" s="3"/>
      <c r="H59" s="3"/>
      <c r="I59" s="3"/>
      <c r="J59" s="5"/>
    </row>
    <row r="60" spans="2:16" x14ac:dyDescent="0.4">
      <c r="F60" s="3"/>
      <c r="G60" s="3"/>
      <c r="H60" s="3"/>
      <c r="I60" s="3"/>
      <c r="J60" s="5"/>
    </row>
    <row r="61" spans="2:16" x14ac:dyDescent="0.4">
      <c r="F61" s="3"/>
      <c r="G61" s="3"/>
      <c r="H61" s="3"/>
      <c r="I61" s="3"/>
      <c r="J61" s="5"/>
    </row>
  </sheetData>
  <mergeCells count="9">
    <mergeCell ref="I9:I10"/>
    <mergeCell ref="J9:J10"/>
    <mergeCell ref="K9:K10"/>
    <mergeCell ref="A4:E4"/>
    <mergeCell ref="A6:K6"/>
    <mergeCell ref="A7:E7"/>
    <mergeCell ref="C9:C10"/>
    <mergeCell ref="D9:D10"/>
    <mergeCell ref="E9:E10"/>
  </mergeCells>
  <printOptions horizontalCentered="1"/>
  <pageMargins left="1.19" right="0.39370078740157483" top="0.39370078740157483" bottom="0.39370078740157483" header="0" footer="0.19685039370078741"/>
  <pageSetup paperSize="9" scale="61" orientation="landscape" r:id="rId1"/>
  <headerFooter alignWithMargins="0">
    <oddHeader>&amp;C]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EE4C94-B4E5-4588-8696-FB0E00D42E56}">
  <sheetPr>
    <tabColor rgb="FF00B0F0"/>
  </sheetPr>
  <dimension ref="B4:L80"/>
  <sheetViews>
    <sheetView showGridLines="0" zoomScale="85" zoomScaleNormal="85" workbookViewId="0">
      <pane ySplit="14" topLeftCell="A22" activePane="bottomLeft" state="frozen"/>
      <selection activeCell="B40" sqref="B40"/>
      <selection pane="bottomLeft" activeCell="B7" sqref="B7:G43"/>
    </sheetView>
  </sheetViews>
  <sheetFormatPr defaultColWidth="11.42578125" defaultRowHeight="16.5" x14ac:dyDescent="0.3"/>
  <cols>
    <col min="1" max="1" width="9.5703125" style="2" customWidth="1"/>
    <col min="2" max="2" width="2.7109375" style="48" customWidth="1"/>
    <col min="3" max="3" width="55.85546875" style="2" customWidth="1"/>
    <col min="4" max="4" width="14.28515625" style="2" customWidth="1"/>
    <col min="5" max="5" width="6" style="3" customWidth="1"/>
    <col min="6" max="6" width="13.140625" style="3" customWidth="1"/>
    <col min="7" max="7" width="14" style="3" customWidth="1"/>
    <col min="8" max="8" width="17" style="2" bestFit="1" customWidth="1"/>
    <col min="9" max="9" width="12.42578125" style="2" bestFit="1" customWidth="1"/>
    <col min="10" max="11" width="14.7109375" style="2" bestFit="1" customWidth="1"/>
    <col min="12" max="16384" width="11.42578125" style="2"/>
  </cols>
  <sheetData>
    <row r="4" spans="2:8" ht="15" customHeight="1" x14ac:dyDescent="0.3">
      <c r="B4" s="195"/>
      <c r="C4" s="195"/>
      <c r="D4" s="195"/>
      <c r="E4" s="195"/>
      <c r="F4" s="195"/>
      <c r="G4" s="195"/>
    </row>
    <row r="5" spans="2:8" ht="15" customHeight="1" x14ac:dyDescent="0.3">
      <c r="B5" s="9"/>
      <c r="C5" s="9"/>
      <c r="D5" s="9"/>
      <c r="E5" s="9"/>
      <c r="F5" s="9"/>
      <c r="G5" s="9"/>
    </row>
    <row r="6" spans="2:8" ht="15" customHeight="1" x14ac:dyDescent="0.3">
      <c r="B6" s="9"/>
      <c r="C6" s="9"/>
      <c r="D6" s="9"/>
      <c r="E6" s="9"/>
      <c r="F6" s="9"/>
      <c r="G6" s="9"/>
    </row>
    <row r="7" spans="2:8" ht="15" customHeight="1" x14ac:dyDescent="0.3">
      <c r="B7" s="195" t="s">
        <v>0</v>
      </c>
      <c r="C7" s="195"/>
      <c r="D7" s="195"/>
      <c r="E7" s="195"/>
      <c r="F7" s="195"/>
      <c r="G7" s="195"/>
    </row>
    <row r="8" spans="2:8" ht="15" customHeight="1" x14ac:dyDescent="0.3">
      <c r="B8" s="195" t="str">
        <f>BALANÇO!A5</f>
        <v>DEMONSTRAÇÕES FINANCEIRAS LEVANTADAS EM 31 DE DEZEMBRO DE 2021 E 2020</v>
      </c>
      <c r="C8" s="195"/>
      <c r="D8" s="195"/>
      <c r="E8" s="195"/>
      <c r="F8" s="195"/>
      <c r="G8" s="195"/>
    </row>
    <row r="9" spans="2:8" ht="15" customHeight="1" x14ac:dyDescent="0.3">
      <c r="B9" s="9"/>
      <c r="C9" s="9"/>
      <c r="D9" s="9"/>
      <c r="E9" s="9"/>
      <c r="F9" s="17"/>
      <c r="G9" s="17"/>
    </row>
    <row r="10" spans="2:8" ht="15" customHeight="1" x14ac:dyDescent="0.3">
      <c r="B10" s="196" t="s">
        <v>62</v>
      </c>
      <c r="C10" s="196"/>
      <c r="D10" s="196"/>
      <c r="E10" s="196"/>
      <c r="F10" s="196"/>
      <c r="G10" s="196"/>
    </row>
    <row r="11" spans="2:8" ht="15" customHeight="1" x14ac:dyDescent="0.3">
      <c r="B11" s="51" t="s">
        <v>1</v>
      </c>
      <c r="C11" s="51"/>
      <c r="D11" s="51"/>
      <c r="F11" s="51"/>
      <c r="G11" s="52"/>
    </row>
    <row r="12" spans="2:8" ht="15" customHeight="1" x14ac:dyDescent="0.3">
      <c r="B12" s="9"/>
      <c r="C12" s="9"/>
      <c r="D12" s="9"/>
      <c r="E12" s="9"/>
      <c r="F12" s="9"/>
      <c r="G12" s="9"/>
    </row>
    <row r="13" spans="2:8" ht="12" customHeight="1" x14ac:dyDescent="0.3">
      <c r="B13" s="9"/>
      <c r="C13" s="9"/>
      <c r="D13" s="192" t="s">
        <v>3</v>
      </c>
      <c r="E13" s="9"/>
      <c r="F13" s="199">
        <f>DRA!F13</f>
        <v>44561</v>
      </c>
      <c r="G13" s="199">
        <f>DRA!H13</f>
        <v>44196</v>
      </c>
    </row>
    <row r="14" spans="2:8" ht="12.75" customHeight="1" x14ac:dyDescent="0.3">
      <c r="B14" s="13"/>
      <c r="C14" s="17"/>
      <c r="D14" s="192"/>
      <c r="E14" s="21"/>
      <c r="F14" s="200"/>
      <c r="G14" s="200"/>
    </row>
    <row r="15" spans="2:8" ht="15" customHeight="1" x14ac:dyDescent="0.3">
      <c r="B15" s="16" t="s">
        <v>67</v>
      </c>
      <c r="C15" s="17"/>
      <c r="D15" s="22" t="s">
        <v>51</v>
      </c>
      <c r="E15" s="23"/>
      <c r="F15" s="23">
        <v>516714</v>
      </c>
      <c r="G15" s="172">
        <v>334624</v>
      </c>
      <c r="H15" s="4"/>
    </row>
    <row r="16" spans="2:8" ht="6.75" customHeight="1" x14ac:dyDescent="0.3">
      <c r="B16" s="16"/>
      <c r="C16" s="17"/>
      <c r="D16" s="22"/>
      <c r="E16" s="23"/>
      <c r="F16" s="23"/>
      <c r="G16" s="172"/>
      <c r="H16" s="4"/>
    </row>
    <row r="17" spans="2:8" ht="15" customHeight="1" x14ac:dyDescent="0.3">
      <c r="B17" s="16" t="s">
        <v>69</v>
      </c>
      <c r="C17" s="17"/>
      <c r="D17" s="22" t="s">
        <v>51</v>
      </c>
      <c r="E17" s="23"/>
      <c r="F17" s="27">
        <v>31381</v>
      </c>
      <c r="G17" s="172">
        <v>24952</v>
      </c>
      <c r="H17" s="4"/>
    </row>
    <row r="18" spans="2:8" ht="15" customHeight="1" x14ac:dyDescent="0.3">
      <c r="B18" s="16"/>
      <c r="C18" s="16"/>
      <c r="D18" s="55"/>
      <c r="E18" s="23"/>
      <c r="F18" s="27"/>
      <c r="G18" s="172"/>
      <c r="H18" s="4"/>
    </row>
    <row r="19" spans="2:8" ht="15" customHeight="1" x14ac:dyDescent="0.3">
      <c r="B19" s="16" t="s">
        <v>70</v>
      </c>
      <c r="C19" s="17"/>
      <c r="D19" s="22" t="s">
        <v>68</v>
      </c>
      <c r="E19" s="23"/>
      <c r="F19" s="27">
        <v>-444290</v>
      </c>
      <c r="G19" s="172">
        <v>-266330</v>
      </c>
      <c r="H19" s="4"/>
    </row>
    <row r="20" spans="2:8" ht="6" customHeight="1" x14ac:dyDescent="0.3">
      <c r="B20" s="16"/>
      <c r="C20" s="17"/>
      <c r="D20" s="54"/>
      <c r="E20" s="23"/>
      <c r="F20" s="27"/>
      <c r="G20" s="172"/>
      <c r="H20" s="4"/>
    </row>
    <row r="21" spans="2:8" ht="15" customHeight="1" x14ac:dyDescent="0.3">
      <c r="B21" s="16" t="s">
        <v>72</v>
      </c>
      <c r="C21" s="17"/>
      <c r="D21" s="22" t="s">
        <v>68</v>
      </c>
      <c r="E21" s="23"/>
      <c r="F21" s="27">
        <v>-31381</v>
      </c>
      <c r="G21" s="172">
        <v>-24952</v>
      </c>
      <c r="H21" s="4"/>
    </row>
    <row r="22" spans="2:8" ht="15" customHeight="1" x14ac:dyDescent="0.3">
      <c r="B22" s="16"/>
      <c r="C22" s="17"/>
      <c r="D22" s="54"/>
      <c r="E22" s="23"/>
      <c r="F22" s="27"/>
      <c r="G22" s="172"/>
      <c r="H22" s="4"/>
    </row>
    <row r="23" spans="2:8" ht="15" customHeight="1" x14ac:dyDescent="0.3">
      <c r="B23" s="16" t="s">
        <v>73</v>
      </c>
      <c r="C23" s="17"/>
      <c r="D23" s="54"/>
      <c r="E23" s="23"/>
      <c r="F23" s="27">
        <v>72424</v>
      </c>
      <c r="G23" s="172">
        <v>68294</v>
      </c>
      <c r="H23" s="4"/>
    </row>
    <row r="24" spans="2:8" ht="15" customHeight="1" x14ac:dyDescent="0.3">
      <c r="B24" s="16"/>
      <c r="C24" s="17"/>
      <c r="D24" s="54"/>
      <c r="E24" s="23"/>
      <c r="F24" s="27"/>
      <c r="G24" s="172"/>
      <c r="H24" s="4"/>
    </row>
    <row r="25" spans="2:8" ht="15" customHeight="1" x14ac:dyDescent="0.3">
      <c r="B25" s="16" t="s">
        <v>74</v>
      </c>
      <c r="C25" s="17"/>
      <c r="D25" s="54"/>
      <c r="E25" s="23"/>
      <c r="F25" s="27">
        <v>43131</v>
      </c>
      <c r="G25" s="172">
        <v>2209</v>
      </c>
      <c r="H25" s="4"/>
    </row>
    <row r="26" spans="2:8" ht="12" customHeight="1" x14ac:dyDescent="0.3">
      <c r="B26" s="16"/>
      <c r="C26" s="17"/>
      <c r="D26" s="54"/>
      <c r="E26" s="21"/>
      <c r="F26" s="28"/>
      <c r="G26" s="173"/>
      <c r="H26" s="4"/>
    </row>
    <row r="27" spans="2:8" ht="15" customHeight="1" x14ac:dyDescent="0.3">
      <c r="B27" s="16"/>
      <c r="C27" s="17" t="s">
        <v>75</v>
      </c>
      <c r="D27" s="22" t="s">
        <v>71</v>
      </c>
      <c r="E27" s="21"/>
      <c r="F27" s="28">
        <v>-42232</v>
      </c>
      <c r="G27" s="173">
        <v>-29026</v>
      </c>
      <c r="H27" s="4"/>
    </row>
    <row r="28" spans="2:8" ht="15" customHeight="1" x14ac:dyDescent="0.3">
      <c r="B28" s="13"/>
      <c r="C28" s="17" t="s">
        <v>77</v>
      </c>
      <c r="D28" s="22" t="s">
        <v>76</v>
      </c>
      <c r="E28" s="21"/>
      <c r="F28" s="28">
        <v>85363</v>
      </c>
      <c r="G28" s="173">
        <v>31235</v>
      </c>
      <c r="H28" s="4"/>
    </row>
    <row r="29" spans="2:8" ht="15" customHeight="1" x14ac:dyDescent="0.3">
      <c r="B29" s="13"/>
      <c r="C29" s="17"/>
      <c r="D29" s="22"/>
      <c r="E29" s="21"/>
      <c r="F29" s="28"/>
      <c r="G29" s="173"/>
      <c r="H29" s="4"/>
    </row>
    <row r="30" spans="2:8" ht="15" customHeight="1" x14ac:dyDescent="0.3">
      <c r="B30" s="16" t="s">
        <v>79</v>
      </c>
      <c r="C30" s="17"/>
      <c r="D30" s="22"/>
      <c r="E30" s="23"/>
      <c r="F30" s="27">
        <v>115555</v>
      </c>
      <c r="G30" s="172">
        <v>70503</v>
      </c>
      <c r="H30" s="4"/>
    </row>
    <row r="31" spans="2:8" ht="15" customHeight="1" x14ac:dyDescent="0.3">
      <c r="B31" s="13"/>
      <c r="C31" s="17"/>
      <c r="D31" s="54"/>
      <c r="E31" s="21"/>
      <c r="F31" s="28"/>
      <c r="G31" s="173"/>
      <c r="H31" s="4"/>
    </row>
    <row r="32" spans="2:8" ht="15" customHeight="1" x14ac:dyDescent="0.3">
      <c r="B32" s="16" t="s">
        <v>80</v>
      </c>
      <c r="C32" s="17"/>
      <c r="D32" s="22" t="s">
        <v>78</v>
      </c>
      <c r="E32" s="23"/>
      <c r="F32" s="27">
        <v>31075</v>
      </c>
      <c r="G32" s="172">
        <v>1107</v>
      </c>
      <c r="H32" s="4"/>
    </row>
    <row r="33" spans="2:12" ht="15" customHeight="1" x14ac:dyDescent="0.3">
      <c r="B33" s="16"/>
      <c r="C33" s="17" t="s">
        <v>81</v>
      </c>
      <c r="D33" s="54"/>
      <c r="E33" s="21"/>
      <c r="F33" s="57">
        <v>32209</v>
      </c>
      <c r="G33" s="173">
        <v>4285</v>
      </c>
      <c r="H33" s="4"/>
    </row>
    <row r="34" spans="2:12" ht="15" customHeight="1" x14ac:dyDescent="0.3">
      <c r="B34" s="16"/>
      <c r="C34" s="17" t="s">
        <v>82</v>
      </c>
      <c r="D34" s="54"/>
      <c r="E34" s="21"/>
      <c r="F34" s="28">
        <v>-1134</v>
      </c>
      <c r="G34" s="173">
        <v>-3178</v>
      </c>
      <c r="H34" s="4"/>
    </row>
    <row r="35" spans="2:12" ht="15" customHeight="1" x14ac:dyDescent="0.3">
      <c r="F35" s="32"/>
      <c r="G35" s="174"/>
      <c r="H35" s="4"/>
      <c r="L35" s="191"/>
    </row>
    <row r="36" spans="2:12" ht="15" customHeight="1" x14ac:dyDescent="0.3">
      <c r="B36" s="16" t="s">
        <v>83</v>
      </c>
      <c r="C36" s="17"/>
      <c r="D36" s="54"/>
      <c r="E36" s="23"/>
      <c r="F36" s="27">
        <v>146630</v>
      </c>
      <c r="G36" s="172">
        <v>71610</v>
      </c>
      <c r="H36" s="4"/>
      <c r="L36" s="191"/>
    </row>
    <row r="37" spans="2:12" ht="15" customHeight="1" x14ac:dyDescent="0.3">
      <c r="B37" s="16"/>
      <c r="C37" s="17"/>
      <c r="D37" s="54"/>
      <c r="E37" s="21"/>
      <c r="F37" s="28"/>
      <c r="G37" s="173"/>
      <c r="H37" s="4"/>
    </row>
    <row r="38" spans="2:12" ht="15" customHeight="1" x14ac:dyDescent="0.35">
      <c r="B38" s="16" t="s">
        <v>84</v>
      </c>
      <c r="C38" s="17"/>
      <c r="D38" s="22" t="s">
        <v>245</v>
      </c>
      <c r="E38" s="21"/>
      <c r="F38" s="29">
        <v>-38547</v>
      </c>
      <c r="G38" s="175">
        <v>-21783</v>
      </c>
      <c r="H38" s="4"/>
    </row>
    <row r="39" spans="2:12" ht="12" customHeight="1" x14ac:dyDescent="0.3">
      <c r="B39" s="16"/>
      <c r="C39" s="17"/>
      <c r="D39" s="54"/>
      <c r="E39" s="21"/>
      <c r="F39" s="28"/>
      <c r="G39" s="173"/>
      <c r="H39" s="4"/>
      <c r="K39" s="191"/>
    </row>
    <row r="40" spans="2:12" ht="15" customHeight="1" x14ac:dyDescent="0.3">
      <c r="B40" s="16"/>
      <c r="C40" s="58" t="s">
        <v>85</v>
      </c>
      <c r="D40" s="59"/>
      <c r="E40" s="60"/>
      <c r="F40" s="35">
        <v>-26304</v>
      </c>
      <c r="G40" s="176">
        <v>-22117</v>
      </c>
      <c r="H40" s="4"/>
      <c r="K40" s="191"/>
    </row>
    <row r="41" spans="2:12" ht="15" customHeight="1" x14ac:dyDescent="0.3">
      <c r="B41" s="17"/>
      <c r="C41" s="58" t="s">
        <v>86</v>
      </c>
      <c r="D41" s="59"/>
      <c r="E41" s="60"/>
      <c r="F41" s="35">
        <v>-12243</v>
      </c>
      <c r="G41" s="176">
        <v>335</v>
      </c>
      <c r="H41" s="4"/>
    </row>
    <row r="42" spans="2:12" ht="15" customHeight="1" x14ac:dyDescent="0.3">
      <c r="B42" s="17"/>
      <c r="C42" s="17"/>
      <c r="D42" s="54"/>
      <c r="E42" s="21"/>
      <c r="F42" s="28"/>
      <c r="G42" s="173"/>
      <c r="H42" s="4"/>
    </row>
    <row r="43" spans="2:12" ht="15" customHeight="1" x14ac:dyDescent="0.35">
      <c r="B43" s="16" t="s">
        <v>87</v>
      </c>
      <c r="C43" s="17"/>
      <c r="D43" s="22"/>
      <c r="E43" s="21"/>
      <c r="F43" s="29">
        <v>16592</v>
      </c>
      <c r="G43" s="175">
        <v>13567</v>
      </c>
      <c r="H43" s="4"/>
    </row>
    <row r="44" spans="2:12" ht="19.5" hidden="1" customHeight="1" x14ac:dyDescent="0.3">
      <c r="B44" s="16"/>
      <c r="C44" s="61"/>
      <c r="D44" s="62"/>
      <c r="E44" s="21"/>
      <c r="F44" s="28"/>
      <c r="G44" s="173"/>
      <c r="H44" s="4"/>
    </row>
    <row r="45" spans="2:12" ht="15" hidden="1" customHeight="1" x14ac:dyDescent="0.3">
      <c r="B45" s="16"/>
      <c r="C45" s="61" t="s">
        <v>88</v>
      </c>
      <c r="D45" s="62"/>
      <c r="E45" s="21"/>
      <c r="F45" s="28">
        <v>13567</v>
      </c>
      <c r="G45" s="173">
        <v>13567</v>
      </c>
      <c r="H45" s="4"/>
    </row>
    <row r="46" spans="2:12" ht="15" hidden="1" customHeight="1" x14ac:dyDescent="0.3">
      <c r="B46" s="16"/>
      <c r="C46" s="61"/>
      <c r="D46" s="62"/>
      <c r="E46" s="21"/>
      <c r="F46" s="21"/>
      <c r="G46" s="173"/>
      <c r="H46" s="4"/>
    </row>
    <row r="47" spans="2:12" ht="15" hidden="1" customHeight="1" x14ac:dyDescent="0.3">
      <c r="B47" s="16"/>
      <c r="C47" s="63" t="s">
        <v>89</v>
      </c>
      <c r="D47" s="64" t="s">
        <v>78</v>
      </c>
      <c r="E47" s="65"/>
      <c r="F47" s="65">
        <v>12749</v>
      </c>
      <c r="G47" s="173">
        <v>12749</v>
      </c>
      <c r="H47" s="66"/>
    </row>
    <row r="48" spans="2:12" ht="15" hidden="1" customHeight="1" x14ac:dyDescent="0.3">
      <c r="B48" s="16"/>
      <c r="C48" s="63" t="s">
        <v>90</v>
      </c>
      <c r="D48" s="67"/>
      <c r="E48" s="65"/>
      <c r="F48" s="65">
        <v>156</v>
      </c>
      <c r="G48" s="173">
        <v>156</v>
      </c>
      <c r="H48" s="66"/>
    </row>
    <row r="49" spans="2:11" ht="15" hidden="1" customHeight="1" x14ac:dyDescent="0.3">
      <c r="B49" s="16"/>
      <c r="C49" s="63" t="s">
        <v>91</v>
      </c>
      <c r="D49" s="67"/>
      <c r="E49" s="65"/>
      <c r="F49" s="65">
        <v>335</v>
      </c>
      <c r="G49" s="173">
        <v>335</v>
      </c>
      <c r="H49" s="66"/>
    </row>
    <row r="50" spans="2:11" ht="15" hidden="1" customHeight="1" x14ac:dyDescent="0.3">
      <c r="B50" s="16"/>
      <c r="C50" s="63" t="s">
        <v>92</v>
      </c>
      <c r="D50" s="67"/>
      <c r="E50" s="65"/>
      <c r="F50" s="65">
        <v>306</v>
      </c>
      <c r="G50" s="173">
        <v>306</v>
      </c>
      <c r="H50" s="66"/>
    </row>
    <row r="51" spans="2:11" ht="15" hidden="1" customHeight="1" x14ac:dyDescent="0.3">
      <c r="B51" s="16"/>
      <c r="C51" s="63" t="s">
        <v>93</v>
      </c>
      <c r="D51" s="67"/>
      <c r="E51" s="65"/>
      <c r="F51" s="65">
        <v>21</v>
      </c>
      <c r="G51" s="173">
        <v>21</v>
      </c>
      <c r="H51" s="66"/>
    </row>
    <row r="52" spans="2:11" ht="15" customHeight="1" x14ac:dyDescent="0.3">
      <c r="B52" s="16"/>
      <c r="C52" s="61"/>
      <c r="D52" s="62"/>
      <c r="E52" s="21"/>
      <c r="F52" s="21"/>
      <c r="G52" s="173"/>
      <c r="H52" s="4"/>
    </row>
    <row r="53" spans="2:11" ht="15" hidden="1" customHeight="1" x14ac:dyDescent="0.35">
      <c r="B53" s="16" t="s">
        <v>94</v>
      </c>
      <c r="C53" s="61"/>
      <c r="D53" s="62"/>
      <c r="E53" s="68"/>
      <c r="F53" s="68">
        <v>63394</v>
      </c>
      <c r="G53" s="175">
        <v>63394</v>
      </c>
      <c r="H53" s="4"/>
    </row>
    <row r="54" spans="2:11" ht="15" hidden="1" customHeight="1" x14ac:dyDescent="0.3">
      <c r="B54" s="16" t="s">
        <v>95</v>
      </c>
      <c r="C54" s="61"/>
      <c r="D54" s="62"/>
      <c r="E54" s="21"/>
      <c r="F54" s="21"/>
      <c r="G54" s="173"/>
      <c r="H54" s="4"/>
    </row>
    <row r="55" spans="2:11" ht="12" hidden="1" customHeight="1" x14ac:dyDescent="0.3">
      <c r="B55" s="16"/>
      <c r="C55" s="61"/>
      <c r="D55" s="62"/>
      <c r="E55" s="21"/>
      <c r="F55" s="21"/>
      <c r="G55" s="173"/>
      <c r="H55" s="4"/>
    </row>
    <row r="56" spans="2:11" ht="14.25" customHeight="1" x14ac:dyDescent="0.3">
      <c r="B56" s="16"/>
      <c r="C56" s="61"/>
      <c r="D56" s="62"/>
      <c r="E56" s="21"/>
      <c r="F56" s="21"/>
      <c r="G56" s="173"/>
      <c r="H56" s="4"/>
      <c r="I56" s="69"/>
      <c r="J56" s="70"/>
      <c r="K56" s="69"/>
    </row>
    <row r="57" spans="2:11" ht="15" customHeight="1" x14ac:dyDescent="0.35">
      <c r="B57" s="16" t="s">
        <v>96</v>
      </c>
      <c r="C57" s="61"/>
      <c r="D57" s="62"/>
      <c r="E57" s="68"/>
      <c r="F57" s="68">
        <v>124675</v>
      </c>
      <c r="G57" s="175">
        <v>63395</v>
      </c>
      <c r="H57" s="4"/>
      <c r="I57" s="71"/>
      <c r="J57" s="72"/>
      <c r="K57" s="69"/>
    </row>
    <row r="58" spans="2:11" ht="15" customHeight="1" x14ac:dyDescent="0.3">
      <c r="B58" s="13"/>
      <c r="C58" s="61"/>
      <c r="D58" s="62"/>
      <c r="E58" s="21"/>
      <c r="F58" s="21"/>
      <c r="G58" s="173"/>
      <c r="H58" s="4"/>
      <c r="I58" s="71"/>
      <c r="J58" s="72"/>
      <c r="K58" s="69"/>
    </row>
    <row r="59" spans="2:11" ht="15" customHeight="1" x14ac:dyDescent="0.3">
      <c r="B59" s="73" t="s">
        <v>97</v>
      </c>
      <c r="C59" s="74"/>
      <c r="D59" s="22" t="s">
        <v>54</v>
      </c>
      <c r="E59" s="25"/>
      <c r="F59" s="25">
        <v>3.1643401015228427</v>
      </c>
      <c r="G59" s="177">
        <v>1.6089847715736041</v>
      </c>
      <c r="H59" s="4"/>
      <c r="I59" s="71"/>
      <c r="J59" s="72"/>
      <c r="K59" s="69"/>
    </row>
    <row r="60" spans="2:11" ht="4.5" customHeight="1" x14ac:dyDescent="0.3">
      <c r="B60" s="2"/>
      <c r="E60" s="2"/>
      <c r="F60" s="2"/>
      <c r="G60" s="2"/>
      <c r="H60" s="4"/>
      <c r="I60" s="71">
        <v>1.5643847461928935</v>
      </c>
      <c r="J60" s="72"/>
      <c r="K60" s="69"/>
    </row>
    <row r="61" spans="2:11" ht="15" hidden="1" customHeight="1" x14ac:dyDescent="0.3">
      <c r="B61" s="2"/>
      <c r="C61" s="16" t="s">
        <v>98</v>
      </c>
      <c r="E61" s="2"/>
      <c r="F61" s="77"/>
      <c r="G61" s="77"/>
      <c r="H61" s="4"/>
      <c r="I61" s="71"/>
      <c r="J61" s="72"/>
      <c r="K61" s="69"/>
    </row>
    <row r="62" spans="2:11" ht="15" hidden="1" customHeight="1" x14ac:dyDescent="0.35">
      <c r="B62" s="2"/>
      <c r="C62" s="17" t="s">
        <v>99</v>
      </c>
      <c r="E62" s="2"/>
      <c r="F62" s="78"/>
      <c r="G62" s="25"/>
      <c r="H62" s="4"/>
      <c r="I62" s="71"/>
      <c r="J62" s="72"/>
      <c r="K62" s="69"/>
    </row>
    <row r="63" spans="2:11" ht="15" hidden="1" customHeight="1" x14ac:dyDescent="0.35">
      <c r="B63" s="2"/>
      <c r="C63" s="17" t="s">
        <v>100</v>
      </c>
      <c r="E63" s="2"/>
      <c r="F63" s="78"/>
      <c r="G63" s="25"/>
      <c r="H63" s="4"/>
      <c r="I63" s="71"/>
      <c r="J63" s="72"/>
      <c r="K63" s="69"/>
    </row>
    <row r="64" spans="2:11" ht="6" hidden="1" customHeight="1" x14ac:dyDescent="0.3">
      <c r="B64" s="2"/>
      <c r="C64" s="17"/>
      <c r="E64" s="2"/>
      <c r="F64" s="77"/>
      <c r="G64" s="77"/>
      <c r="H64" s="4"/>
      <c r="I64" s="71"/>
      <c r="J64" s="72"/>
      <c r="K64" s="69"/>
    </row>
    <row r="65" spans="2:11" ht="15" hidden="1" customHeight="1" x14ac:dyDescent="0.3">
      <c r="B65" s="2"/>
      <c r="C65" s="16" t="s">
        <v>101</v>
      </c>
      <c r="E65" s="2"/>
      <c r="F65" s="77"/>
      <c r="G65" s="77"/>
      <c r="H65" s="4"/>
      <c r="I65" s="71"/>
      <c r="J65" s="72"/>
      <c r="K65" s="69"/>
    </row>
    <row r="66" spans="2:11" ht="15" hidden="1" customHeight="1" x14ac:dyDescent="0.3">
      <c r="B66" s="2"/>
      <c r="C66" s="17" t="s">
        <v>99</v>
      </c>
      <c r="E66" s="2"/>
      <c r="F66" s="25"/>
      <c r="G66" s="25"/>
      <c r="H66" s="4"/>
      <c r="I66" s="56"/>
      <c r="J66" s="79"/>
    </row>
    <row r="67" spans="2:11" ht="15" hidden="1" customHeight="1" x14ac:dyDescent="0.3">
      <c r="B67" s="2"/>
      <c r="C67" s="17" t="s">
        <v>100</v>
      </c>
      <c r="E67" s="2"/>
      <c r="F67" s="25"/>
      <c r="G67" s="25"/>
      <c r="H67" s="4"/>
      <c r="I67" s="77"/>
      <c r="J67" s="79"/>
    </row>
    <row r="68" spans="2:11" ht="15" hidden="1" customHeight="1" x14ac:dyDescent="0.3">
      <c r="B68" s="2"/>
      <c r="E68" s="2"/>
      <c r="F68" s="2"/>
      <c r="G68" s="2"/>
      <c r="H68" s="4"/>
      <c r="I68" s="56"/>
      <c r="J68" s="79"/>
    </row>
    <row r="69" spans="2:11" ht="15" customHeight="1" x14ac:dyDescent="0.3">
      <c r="B69" s="198" t="s">
        <v>102</v>
      </c>
      <c r="C69" s="198"/>
      <c r="D69" s="198"/>
      <c r="E69" s="198"/>
      <c r="F69" s="198"/>
      <c r="G69" s="198"/>
      <c r="J69" s="4"/>
      <c r="K69" s="80"/>
    </row>
    <row r="70" spans="2:11" ht="15" customHeight="1" x14ac:dyDescent="0.3">
      <c r="B70" s="81"/>
      <c r="C70" s="81"/>
      <c r="D70" s="81"/>
      <c r="E70" s="81"/>
      <c r="F70" s="82"/>
      <c r="G70" s="82"/>
      <c r="J70" s="56"/>
    </row>
    <row r="71" spans="2:11" ht="15" customHeight="1" x14ac:dyDescent="0.3">
      <c r="B71" s="81"/>
      <c r="C71" s="81"/>
      <c r="D71" s="81"/>
      <c r="E71" s="81"/>
      <c r="F71" s="83"/>
      <c r="G71" s="81"/>
    </row>
    <row r="72" spans="2:11" ht="15" customHeight="1" x14ac:dyDescent="0.3">
      <c r="B72" s="81"/>
      <c r="C72" s="81"/>
      <c r="D72" s="81"/>
      <c r="E72" s="81"/>
      <c r="F72" s="82"/>
      <c r="G72" s="81"/>
    </row>
    <row r="73" spans="2:11" ht="15" customHeight="1" x14ac:dyDescent="0.3"/>
    <row r="74" spans="2:11" ht="15" customHeight="1" x14ac:dyDescent="0.3"/>
    <row r="75" spans="2:11" ht="15" customHeight="1" x14ac:dyDescent="0.3">
      <c r="C75" s="81"/>
      <c r="D75" s="81"/>
      <c r="E75" s="84"/>
    </row>
    <row r="76" spans="2:11" ht="15" customHeight="1" x14ac:dyDescent="0.3"/>
    <row r="77" spans="2:11" ht="15" customHeight="1" x14ac:dyDescent="0.3"/>
    <row r="78" spans="2:11" ht="15" customHeight="1" x14ac:dyDescent="0.3"/>
    <row r="79" spans="2:11" ht="15" customHeight="1" x14ac:dyDescent="0.3"/>
    <row r="80" spans="2:11" x14ac:dyDescent="0.3">
      <c r="G80" s="7">
        <v>2</v>
      </c>
    </row>
  </sheetData>
  <mergeCells count="8">
    <mergeCell ref="B69:G69"/>
    <mergeCell ref="B4:G4"/>
    <mergeCell ref="B7:G7"/>
    <mergeCell ref="B8:G8"/>
    <mergeCell ref="B10:G10"/>
    <mergeCell ref="D13:D14"/>
    <mergeCell ref="F13:F14"/>
    <mergeCell ref="G13:G14"/>
  </mergeCells>
  <printOptions horizontalCentered="1"/>
  <pageMargins left="0.39370078740157483" right="0.39370078740157483" top="0.39370078740157483" bottom="0.39370078740157483" header="0.39" footer="0.19685039370078741"/>
  <pageSetup paperSize="9" scale="70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69D2BE-6FB3-4605-A251-4DFDB67C9CF6}">
  <sheetPr>
    <tabColor rgb="FF00B0F0"/>
  </sheetPr>
  <dimension ref="B4:S72"/>
  <sheetViews>
    <sheetView showGridLines="0" zoomScale="85" zoomScaleNormal="85" workbookViewId="0">
      <pane ySplit="14" topLeftCell="A15" activePane="bottomLeft" state="frozen"/>
      <selection activeCell="B40" sqref="B40"/>
      <selection pane="bottomLeft" activeCell="B7" sqref="B7:O39"/>
    </sheetView>
  </sheetViews>
  <sheetFormatPr defaultColWidth="11.42578125" defaultRowHeight="16.5" x14ac:dyDescent="0.3"/>
  <cols>
    <col min="1" max="1" width="9.5703125" style="2" customWidth="1"/>
    <col min="2" max="2" width="2.7109375" style="48" customWidth="1"/>
    <col min="3" max="3" width="55.85546875" style="2" customWidth="1"/>
    <col min="4" max="4" width="14.28515625" style="2" customWidth="1"/>
    <col min="5" max="5" width="6" style="3" customWidth="1"/>
    <col min="6" max="6" width="13.7109375" style="3" customWidth="1"/>
    <col min="7" max="7" width="6" style="3" customWidth="1"/>
    <col min="8" max="8" width="15.7109375" style="3" customWidth="1"/>
    <col min="9" max="9" width="6" style="3" hidden="1" customWidth="1"/>
    <col min="10" max="10" width="13.7109375" style="3" hidden="1" customWidth="1"/>
    <col min="11" max="12" width="6" style="3" hidden="1" customWidth="1"/>
    <col min="13" max="13" width="13.7109375" style="3" hidden="1" customWidth="1"/>
    <col min="14" max="14" width="3.7109375" style="2" hidden="1" customWidth="1"/>
    <col min="15" max="15" width="13.7109375" style="3" hidden="1" customWidth="1"/>
    <col min="16" max="16" width="0" style="2" hidden="1" customWidth="1"/>
    <col min="17" max="17" width="17" style="2" bestFit="1" customWidth="1"/>
    <col min="18" max="19" width="12.42578125" style="2" bestFit="1" customWidth="1"/>
    <col min="20" max="16384" width="11.42578125" style="2"/>
  </cols>
  <sheetData>
    <row r="4" spans="2:17" ht="15" customHeight="1" x14ac:dyDescent="0.3">
      <c r="B4" s="195"/>
      <c r="C4" s="195"/>
      <c r="D4" s="195"/>
      <c r="E4" s="195"/>
      <c r="F4" s="195"/>
      <c r="G4" s="195"/>
      <c r="H4" s="195"/>
      <c r="I4" s="195"/>
      <c r="J4" s="195"/>
      <c r="K4" s="195"/>
      <c r="L4" s="195"/>
      <c r="M4" s="195"/>
      <c r="N4" s="195"/>
      <c r="O4" s="195"/>
    </row>
    <row r="5" spans="2:17" ht="15" customHeight="1" x14ac:dyDescent="0.3"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</row>
    <row r="6" spans="2:17" ht="15" customHeight="1" x14ac:dyDescent="0.3"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</row>
    <row r="7" spans="2:17" ht="15" customHeight="1" x14ac:dyDescent="0.3">
      <c r="B7" s="195" t="s">
        <v>0</v>
      </c>
      <c r="C7" s="195"/>
      <c r="D7" s="195"/>
      <c r="E7" s="195"/>
      <c r="F7" s="195"/>
      <c r="G7" s="195"/>
      <c r="H7" s="195"/>
      <c r="I7" s="195"/>
      <c r="J7" s="195"/>
      <c r="K7" s="195"/>
      <c r="L7" s="195"/>
      <c r="M7" s="195"/>
      <c r="N7" s="195"/>
      <c r="O7" s="195"/>
    </row>
    <row r="8" spans="2:17" ht="15" customHeight="1" x14ac:dyDescent="0.3">
      <c r="B8" s="195" t="str">
        <f>BALANÇO!A5</f>
        <v>DEMONSTRAÇÕES FINANCEIRAS LEVANTADAS EM 31 DE DEZEMBRO DE 2021 E 2020</v>
      </c>
      <c r="C8" s="195"/>
      <c r="D8" s="195"/>
      <c r="E8" s="195"/>
      <c r="F8" s="195"/>
      <c r="G8" s="195"/>
      <c r="H8" s="195"/>
      <c r="I8" s="195"/>
      <c r="J8" s="195"/>
      <c r="K8" s="195"/>
      <c r="L8" s="195"/>
      <c r="M8" s="195"/>
      <c r="N8" s="195"/>
      <c r="O8" s="195"/>
    </row>
    <row r="9" spans="2:17" ht="15" customHeight="1" x14ac:dyDescent="0.3">
      <c r="B9" s="9"/>
      <c r="C9" s="9"/>
      <c r="D9" s="9"/>
      <c r="E9" s="9"/>
      <c r="F9" s="17"/>
      <c r="G9" s="9"/>
      <c r="H9" s="17"/>
      <c r="I9" s="9"/>
      <c r="J9" s="17"/>
      <c r="K9" s="9"/>
      <c r="L9" s="9"/>
      <c r="M9" s="17"/>
      <c r="N9" s="9"/>
      <c r="O9" s="17"/>
    </row>
    <row r="10" spans="2:17" ht="15" customHeight="1" x14ac:dyDescent="0.3">
      <c r="B10" s="196" t="s">
        <v>103</v>
      </c>
      <c r="C10" s="196"/>
      <c r="D10" s="196"/>
      <c r="E10" s="196"/>
      <c r="F10" s="196"/>
      <c r="G10" s="196"/>
      <c r="H10" s="196"/>
      <c r="I10" s="196"/>
      <c r="J10" s="196"/>
      <c r="K10" s="196"/>
      <c r="L10" s="196"/>
      <c r="M10" s="196"/>
      <c r="N10" s="196"/>
      <c r="O10" s="196"/>
    </row>
    <row r="11" spans="2:17" ht="15" customHeight="1" x14ac:dyDescent="0.3">
      <c r="B11" s="51" t="s">
        <v>1</v>
      </c>
      <c r="C11" s="51"/>
      <c r="D11" s="51"/>
      <c r="F11" s="51"/>
      <c r="G11" s="85"/>
      <c r="H11" s="52"/>
      <c r="J11" s="51"/>
      <c r="K11" s="52"/>
      <c r="L11" s="52"/>
      <c r="M11" s="51"/>
      <c r="O11" s="51"/>
    </row>
    <row r="12" spans="2:17" ht="15" customHeight="1" x14ac:dyDescent="0.3"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</row>
    <row r="13" spans="2:17" ht="12" customHeight="1" x14ac:dyDescent="0.3">
      <c r="B13" s="9"/>
      <c r="C13" s="9"/>
      <c r="D13" s="192" t="s">
        <v>3</v>
      </c>
      <c r="E13" s="9"/>
      <c r="F13" s="200">
        <v>44561</v>
      </c>
      <c r="G13" s="9"/>
      <c r="H13" s="200">
        <v>44196</v>
      </c>
      <c r="I13" s="9"/>
      <c r="J13" s="201">
        <v>2015</v>
      </c>
      <c r="K13" s="9"/>
      <c r="L13" s="9"/>
      <c r="M13" s="201">
        <v>2012</v>
      </c>
      <c r="N13" s="53"/>
      <c r="O13" s="201">
        <v>2011</v>
      </c>
    </row>
    <row r="14" spans="2:17" ht="12.75" customHeight="1" x14ac:dyDescent="0.3">
      <c r="B14" s="13"/>
      <c r="C14" s="17"/>
      <c r="D14" s="192"/>
      <c r="E14" s="21"/>
      <c r="F14" s="201"/>
      <c r="G14" s="21"/>
      <c r="H14" s="201"/>
      <c r="I14" s="21"/>
      <c r="J14" s="201"/>
      <c r="K14" s="21"/>
      <c r="L14" s="21"/>
      <c r="M14" s="201"/>
      <c r="N14" s="53"/>
      <c r="O14" s="201"/>
    </row>
    <row r="15" spans="2:17" ht="10.5" customHeight="1" x14ac:dyDescent="0.3">
      <c r="B15" s="13"/>
      <c r="C15" s="17"/>
      <c r="D15" s="26"/>
      <c r="E15" s="21"/>
      <c r="F15" s="21"/>
      <c r="G15" s="21"/>
      <c r="H15" s="28"/>
      <c r="I15" s="21"/>
      <c r="J15" s="21"/>
      <c r="K15" s="21"/>
      <c r="L15" s="21"/>
      <c r="M15" s="21"/>
      <c r="N15" s="26"/>
      <c r="O15" s="21"/>
    </row>
    <row r="16" spans="2:17" ht="15" hidden="1" x14ac:dyDescent="0.3">
      <c r="B16" s="16" t="s">
        <v>63</v>
      </c>
      <c r="C16" s="17"/>
      <c r="D16" s="54"/>
      <c r="E16" s="23"/>
      <c r="F16" s="23">
        <f>F18</f>
        <v>568245728</v>
      </c>
      <c r="G16" s="23"/>
      <c r="H16" s="27">
        <f>H18</f>
        <v>498422933.00000006</v>
      </c>
      <c r="I16" s="23"/>
      <c r="J16" s="23">
        <f>J18</f>
        <v>597164402</v>
      </c>
      <c r="K16" s="23"/>
      <c r="L16" s="23"/>
      <c r="M16" s="23">
        <f>M18</f>
        <v>337588352</v>
      </c>
      <c r="N16" s="17"/>
      <c r="O16" s="23">
        <f>O18</f>
        <v>302382478.10999995</v>
      </c>
      <c r="Q16" s="4"/>
    </row>
    <row r="17" spans="2:17" ht="12" hidden="1" customHeight="1" x14ac:dyDescent="0.3">
      <c r="B17" s="16"/>
      <c r="C17" s="17"/>
      <c r="D17" s="54"/>
      <c r="E17" s="23"/>
      <c r="F17" s="23"/>
      <c r="G17" s="23"/>
      <c r="H17" s="27"/>
      <c r="I17" s="23"/>
      <c r="J17" s="23"/>
      <c r="K17" s="23"/>
      <c r="L17" s="23"/>
      <c r="M17" s="23"/>
      <c r="N17" s="17"/>
      <c r="O17" s="23"/>
      <c r="Q17" s="4"/>
    </row>
    <row r="18" spans="2:17" ht="15" hidden="1" customHeight="1" x14ac:dyDescent="0.3">
      <c r="B18" s="13"/>
      <c r="C18" s="17" t="s">
        <v>64</v>
      </c>
      <c r="D18" s="54"/>
      <c r="E18" s="21"/>
      <c r="F18" s="21">
        <v>568245728</v>
      </c>
      <c r="G18" s="21"/>
      <c r="H18" s="28">
        <v>498422933.00000006</v>
      </c>
      <c r="I18" s="21"/>
      <c r="J18" s="21">
        <v>597164402</v>
      </c>
      <c r="K18" s="21"/>
      <c r="L18" s="21"/>
      <c r="M18" s="21">
        <v>337588352</v>
      </c>
      <c r="N18" s="17"/>
      <c r="O18" s="21">
        <f>'[1]DRE-Trim-Anual-Cons.Adm'!$E$10</f>
        <v>302382478.10999995</v>
      </c>
      <c r="Q18" s="4"/>
    </row>
    <row r="19" spans="2:17" ht="15" hidden="1" customHeight="1" x14ac:dyDescent="0.3">
      <c r="B19" s="13"/>
      <c r="C19" s="17"/>
      <c r="D19" s="54"/>
      <c r="E19" s="21"/>
      <c r="F19" s="21"/>
      <c r="G19" s="21"/>
      <c r="H19" s="28"/>
      <c r="I19" s="21"/>
      <c r="J19" s="21"/>
      <c r="K19" s="21"/>
      <c r="L19" s="21"/>
      <c r="M19" s="21"/>
      <c r="N19" s="17"/>
      <c r="O19" s="21"/>
      <c r="Q19" s="4"/>
    </row>
    <row r="20" spans="2:17" ht="15" hidden="1" customHeight="1" x14ac:dyDescent="0.3">
      <c r="B20" s="16" t="s">
        <v>65</v>
      </c>
      <c r="C20" s="17"/>
      <c r="D20" s="54"/>
      <c r="E20" s="23"/>
      <c r="F20" s="23">
        <f>F22</f>
        <v>-127175673</v>
      </c>
      <c r="G20" s="23"/>
      <c r="H20" s="27">
        <f>H22</f>
        <v>-108625326</v>
      </c>
      <c r="I20" s="23"/>
      <c r="J20" s="23">
        <f>J22</f>
        <v>-128279414</v>
      </c>
      <c r="K20" s="23"/>
      <c r="L20" s="23"/>
      <c r="M20" s="23">
        <f>M22</f>
        <v>-83623495</v>
      </c>
      <c r="N20" s="17"/>
      <c r="O20" s="23">
        <f>O22</f>
        <v>-87979498.610000014</v>
      </c>
      <c r="Q20" s="4"/>
    </row>
    <row r="21" spans="2:17" ht="12" hidden="1" customHeight="1" x14ac:dyDescent="0.3">
      <c r="B21" s="13"/>
      <c r="C21" s="16"/>
      <c r="D21" s="55"/>
      <c r="E21" s="21"/>
      <c r="F21" s="21"/>
      <c r="G21" s="21"/>
      <c r="H21" s="28"/>
      <c r="I21" s="21"/>
      <c r="J21" s="21"/>
      <c r="K21" s="21"/>
      <c r="L21" s="21"/>
      <c r="M21" s="21"/>
      <c r="N21" s="16"/>
      <c r="O21" s="21"/>
      <c r="Q21" s="4"/>
    </row>
    <row r="22" spans="2:17" ht="15" hidden="1" customHeight="1" x14ac:dyDescent="0.3">
      <c r="B22" s="13"/>
      <c r="C22" s="17" t="s">
        <v>66</v>
      </c>
      <c r="D22" s="54"/>
      <c r="E22" s="21"/>
      <c r="F22" s="21">
        <v>-127175673</v>
      </c>
      <c r="G22" s="21"/>
      <c r="H22" s="28">
        <v>-108625326</v>
      </c>
      <c r="I22" s="21"/>
      <c r="J22" s="21">
        <v>-128279414</v>
      </c>
      <c r="K22" s="21"/>
      <c r="L22" s="21"/>
      <c r="M22" s="21">
        <v>-83623495</v>
      </c>
      <c r="N22" s="17"/>
      <c r="O22" s="21">
        <f>'[1]DRE-Trim-Anual-Cons.Adm'!$E$12</f>
        <v>-87979498.610000014</v>
      </c>
      <c r="Q22" s="4"/>
    </row>
    <row r="23" spans="2:17" ht="20.25" hidden="1" customHeight="1" x14ac:dyDescent="0.3">
      <c r="B23" s="17"/>
      <c r="C23" s="16"/>
      <c r="D23" s="55"/>
      <c r="E23" s="21"/>
      <c r="F23" s="21"/>
      <c r="G23" s="21"/>
      <c r="H23" s="28"/>
      <c r="I23" s="21"/>
      <c r="J23" s="21"/>
      <c r="K23" s="21"/>
      <c r="L23" s="21"/>
      <c r="M23" s="21"/>
      <c r="N23" s="16"/>
      <c r="O23" s="21"/>
      <c r="Q23" s="4"/>
    </row>
    <row r="24" spans="2:17" ht="15" customHeight="1" x14ac:dyDescent="0.3">
      <c r="B24" s="16" t="s">
        <v>96</v>
      </c>
      <c r="C24" s="17"/>
      <c r="D24" s="22"/>
      <c r="E24" s="23"/>
      <c r="F24" s="23">
        <v>124675</v>
      </c>
      <c r="G24" s="23"/>
      <c r="H24" s="27">
        <v>63395</v>
      </c>
      <c r="I24" s="23"/>
      <c r="J24" s="23">
        <v>468884988</v>
      </c>
      <c r="K24" s="23"/>
      <c r="L24" s="23"/>
      <c r="M24" s="23">
        <v>253964857</v>
      </c>
      <c r="N24" s="17"/>
      <c r="O24" s="23">
        <v>214402979.49999994</v>
      </c>
      <c r="Q24" s="4"/>
    </row>
    <row r="25" spans="2:17" ht="15" customHeight="1" x14ac:dyDescent="0.3">
      <c r="B25" s="16"/>
      <c r="C25" s="16"/>
      <c r="D25" s="55"/>
      <c r="E25" s="23"/>
      <c r="F25" s="23"/>
      <c r="G25" s="23"/>
      <c r="H25" s="27"/>
      <c r="I25" s="23"/>
      <c r="J25" s="23"/>
      <c r="K25" s="23"/>
      <c r="L25" s="23"/>
      <c r="M25" s="23"/>
      <c r="N25" s="16"/>
      <c r="O25" s="23"/>
      <c r="Q25" s="4"/>
    </row>
    <row r="26" spans="2:17" ht="15" customHeight="1" x14ac:dyDescent="0.35">
      <c r="B26" s="16" t="s">
        <v>104</v>
      </c>
      <c r="C26" s="17"/>
      <c r="D26" s="22"/>
      <c r="E26" s="23"/>
      <c r="F26" s="68">
        <v>0</v>
      </c>
      <c r="G26" s="23"/>
      <c r="H26" s="29">
        <v>0</v>
      </c>
      <c r="I26" s="23"/>
      <c r="J26" s="23">
        <v>-410032172</v>
      </c>
      <c r="K26" s="23"/>
      <c r="L26" s="23"/>
      <c r="M26" s="23">
        <v>-205342651</v>
      </c>
      <c r="N26" s="17"/>
      <c r="O26" s="23">
        <v>-174250298.94</v>
      </c>
      <c r="Q26" s="4"/>
    </row>
    <row r="27" spans="2:17" ht="15" customHeight="1" x14ac:dyDescent="0.3">
      <c r="B27" s="16"/>
      <c r="C27" s="17"/>
      <c r="D27" s="54"/>
      <c r="E27" s="23"/>
      <c r="F27" s="23"/>
      <c r="G27" s="23"/>
      <c r="H27" s="27"/>
      <c r="I27" s="23"/>
      <c r="J27" s="23"/>
      <c r="K27" s="23"/>
      <c r="L27" s="23"/>
      <c r="M27" s="23"/>
      <c r="N27" s="17"/>
      <c r="O27" s="23"/>
      <c r="Q27" s="4"/>
    </row>
    <row r="28" spans="2:17" ht="15" customHeight="1" x14ac:dyDescent="0.35">
      <c r="B28" s="16" t="s">
        <v>105</v>
      </c>
      <c r="C28" s="61"/>
      <c r="D28" s="62"/>
      <c r="E28" s="21"/>
      <c r="F28" s="68">
        <v>124675</v>
      </c>
      <c r="G28" s="21"/>
      <c r="H28" s="29">
        <v>63395</v>
      </c>
      <c r="I28" s="23"/>
      <c r="J28" s="23"/>
      <c r="K28" s="23"/>
      <c r="L28" s="23"/>
      <c r="M28" s="23"/>
      <c r="N28" s="17"/>
      <c r="O28" s="23"/>
      <c r="Q28" s="4"/>
    </row>
    <row r="29" spans="2:17" ht="15" customHeight="1" x14ac:dyDescent="0.3">
      <c r="E29" s="2"/>
      <c r="F29" s="2"/>
      <c r="G29" s="2"/>
      <c r="H29" s="2"/>
      <c r="I29" s="23"/>
      <c r="J29" s="23">
        <f>SUM(J30:J32)</f>
        <v>-14597581</v>
      </c>
      <c r="K29" s="23"/>
      <c r="L29" s="23"/>
      <c r="M29" s="23">
        <f>SUM(M30:M32)</f>
        <v>-11807144</v>
      </c>
      <c r="N29" s="17"/>
      <c r="O29" s="23">
        <f>SUM(O30:O32)</f>
        <v>-16223425.540000001</v>
      </c>
      <c r="Q29" s="4"/>
    </row>
    <row r="30" spans="2:17" ht="15" customHeight="1" x14ac:dyDescent="0.3">
      <c r="B30" s="86" t="s">
        <v>102</v>
      </c>
      <c r="C30" s="86"/>
      <c r="D30" s="86"/>
      <c r="E30" s="86"/>
      <c r="F30" s="86"/>
      <c r="G30" s="86"/>
      <c r="H30" s="86"/>
      <c r="I30" s="21"/>
      <c r="J30" s="21">
        <v>-17204534</v>
      </c>
      <c r="K30" s="21"/>
      <c r="L30" s="21"/>
      <c r="M30" s="21">
        <v>-18262119</v>
      </c>
      <c r="N30" s="17"/>
      <c r="O30" s="21">
        <f>'[1]DRE-Trim-Anual-Cons.Adm'!$E$22+'[1]DRE-Trim-Anual-Cons.Adm'!$E$23+'[1]DRE-Trim-Anual-Cons.Adm'!$E$24+'[1]DRE-Trim-Anual-Cons.Adm'!$E$25</f>
        <v>-17379407.34</v>
      </c>
      <c r="Q30" s="4"/>
    </row>
    <row r="31" spans="2:17" ht="15" customHeight="1" x14ac:dyDescent="0.3">
      <c r="C31" s="81"/>
      <c r="D31" s="81"/>
      <c r="E31" s="81"/>
      <c r="F31" s="81"/>
      <c r="G31" s="81"/>
      <c r="H31" s="81"/>
      <c r="I31" s="21"/>
      <c r="J31" s="21">
        <v>-2382849</v>
      </c>
      <c r="K31" s="21"/>
      <c r="L31" s="21"/>
      <c r="M31" s="21">
        <v>-1717643</v>
      </c>
      <c r="N31" s="17"/>
      <c r="O31" s="21">
        <f>'[1]DRE-Trim-Anual-Cons.Adm'!$E$26</f>
        <v>-1853622.73</v>
      </c>
      <c r="Q31" s="4"/>
    </row>
    <row r="32" spans="2:17" ht="15" customHeight="1" x14ac:dyDescent="0.3">
      <c r="B32" s="81"/>
      <c r="C32" s="81"/>
      <c r="D32" s="81"/>
      <c r="E32" s="81"/>
      <c r="F32" s="81"/>
      <c r="G32" s="81"/>
      <c r="H32" s="81"/>
      <c r="I32" s="21"/>
      <c r="J32" s="21">
        <v>4989802</v>
      </c>
      <c r="K32" s="21"/>
      <c r="L32" s="21"/>
      <c r="M32" s="21">
        <v>8172618</v>
      </c>
      <c r="N32" s="17"/>
      <c r="O32" s="21">
        <f>'[1]DRE-Trim-Anual-Cons.Adm'!$E$27</f>
        <v>3009604.5299999993</v>
      </c>
      <c r="Q32" s="4"/>
    </row>
    <row r="33" spans="2:17" ht="15" customHeight="1" x14ac:dyDescent="0.3">
      <c r="B33" s="81"/>
      <c r="C33" s="81"/>
      <c r="D33" s="81"/>
      <c r="E33" s="81"/>
      <c r="F33" s="81"/>
      <c r="G33" s="81"/>
      <c r="H33" s="81"/>
      <c r="I33" s="21"/>
      <c r="J33" s="21"/>
      <c r="K33" s="21"/>
      <c r="L33" s="21"/>
      <c r="M33" s="21"/>
      <c r="N33" s="17"/>
      <c r="O33" s="21"/>
      <c r="Q33" s="4"/>
    </row>
    <row r="34" spans="2:17" ht="15" customHeight="1" x14ac:dyDescent="0.3">
      <c r="B34" s="81"/>
      <c r="I34" s="23"/>
      <c r="J34" s="23" t="e">
        <f>#REF!+J29</f>
        <v>#REF!</v>
      </c>
      <c r="K34" s="23"/>
      <c r="L34" s="23"/>
      <c r="M34" s="23" t="e">
        <f>#REF!+M29</f>
        <v>#REF!</v>
      </c>
      <c r="N34" s="17"/>
      <c r="O34" s="23" t="e">
        <f>#REF!+O29</f>
        <v>#REF!</v>
      </c>
      <c r="Q34" s="4"/>
    </row>
    <row r="35" spans="2:17" ht="15" customHeight="1" x14ac:dyDescent="0.3">
      <c r="I35" s="21"/>
      <c r="J35" s="21"/>
      <c r="K35" s="21"/>
      <c r="L35" s="21"/>
      <c r="M35" s="21"/>
      <c r="N35" s="17"/>
      <c r="O35" s="21"/>
      <c r="Q35" s="4"/>
    </row>
    <row r="36" spans="2:17" ht="15" customHeight="1" x14ac:dyDescent="0.3">
      <c r="C36" s="81"/>
      <c r="D36" s="81"/>
      <c r="E36" s="84"/>
      <c r="G36" s="84"/>
      <c r="I36" s="23"/>
      <c r="J36" s="23" t="e">
        <f>J37+J38</f>
        <v>#REF!</v>
      </c>
      <c r="K36" s="23"/>
      <c r="L36" s="23"/>
      <c r="M36" s="23">
        <f>M37+M38</f>
        <v>922438</v>
      </c>
      <c r="N36" s="17"/>
      <c r="O36" s="23">
        <f>O37+O38</f>
        <v>3274027.3499999996</v>
      </c>
      <c r="Q36" s="4"/>
    </row>
    <row r="37" spans="2:17" ht="15" customHeight="1" x14ac:dyDescent="0.3">
      <c r="I37" s="21"/>
      <c r="J37" s="21" t="e">
        <f>-10326303+#REF!</f>
        <v>#REF!</v>
      </c>
      <c r="K37" s="21"/>
      <c r="L37" s="21"/>
      <c r="M37" s="21">
        <v>-8932416</v>
      </c>
      <c r="N37" s="17"/>
      <c r="O37" s="21">
        <f>'[1]DRE-Trim-Anual-Cons.Adm'!$E$31</f>
        <v>-7183794.8200000003</v>
      </c>
      <c r="Q37" s="4"/>
    </row>
    <row r="38" spans="2:17" ht="15" customHeight="1" x14ac:dyDescent="0.3">
      <c r="I38" s="21"/>
      <c r="J38" s="21">
        <v>11002935</v>
      </c>
      <c r="K38" s="21"/>
      <c r="L38" s="21"/>
      <c r="M38" s="21">
        <v>9854854</v>
      </c>
      <c r="N38" s="17"/>
      <c r="O38" s="21">
        <f>'[1]DRE-Trim-Anual-Cons.Adm'!$E$30</f>
        <v>10457822.17</v>
      </c>
      <c r="Q38" s="4"/>
    </row>
    <row r="39" spans="2:17" ht="15" customHeight="1" x14ac:dyDescent="0.3">
      <c r="I39" s="21"/>
      <c r="J39" s="21"/>
      <c r="K39" s="21"/>
      <c r="L39" s="21"/>
      <c r="M39" s="21"/>
      <c r="N39" s="17"/>
      <c r="O39" s="21"/>
      <c r="Q39" s="4"/>
    </row>
    <row r="40" spans="2:17" ht="15" customHeight="1" x14ac:dyDescent="0.3">
      <c r="I40" s="23"/>
      <c r="J40" s="23" t="e">
        <f>J34+J36</f>
        <v>#REF!</v>
      </c>
      <c r="K40" s="23"/>
      <c r="L40" s="23"/>
      <c r="M40" s="23" t="e">
        <f>M34+M36</f>
        <v>#REF!</v>
      </c>
      <c r="N40" s="17"/>
      <c r="O40" s="23" t="e">
        <f>O34+O36</f>
        <v>#REF!</v>
      </c>
      <c r="Q40" s="4"/>
    </row>
    <row r="41" spans="2:17" ht="15" customHeight="1" x14ac:dyDescent="0.3">
      <c r="H41" s="7">
        <v>3</v>
      </c>
      <c r="I41" s="21"/>
      <c r="J41" s="21"/>
      <c r="K41" s="21"/>
      <c r="L41" s="21"/>
      <c r="M41" s="21"/>
      <c r="N41" s="17"/>
      <c r="O41" s="21"/>
      <c r="Q41" s="4"/>
    </row>
    <row r="42" spans="2:17" ht="15" customHeight="1" x14ac:dyDescent="0.3">
      <c r="I42" s="21"/>
      <c r="J42" s="39">
        <f>SUM(J44:J45)</f>
        <v>-15436193</v>
      </c>
      <c r="K42" s="21"/>
      <c r="L42" s="21"/>
      <c r="M42" s="39">
        <f>SUM(M44:M45)</f>
        <v>-13754392</v>
      </c>
      <c r="N42" s="17"/>
      <c r="O42" s="39">
        <f>SUM(O44:O45)</f>
        <v>-9323242.2200000007</v>
      </c>
      <c r="Q42" s="4"/>
    </row>
    <row r="43" spans="2:17" ht="12" customHeight="1" x14ac:dyDescent="0.3">
      <c r="I43" s="21"/>
      <c r="J43" s="21"/>
      <c r="K43" s="21"/>
      <c r="L43" s="21"/>
      <c r="M43" s="21"/>
      <c r="N43" s="17"/>
      <c r="O43" s="21"/>
      <c r="Q43" s="4"/>
    </row>
    <row r="44" spans="2:17" ht="15" customHeight="1" x14ac:dyDescent="0.3">
      <c r="I44" s="21"/>
      <c r="J44" s="21">
        <v>-16302238</v>
      </c>
      <c r="K44" s="21"/>
      <c r="L44" s="21"/>
      <c r="M44" s="21">
        <v>-13754392</v>
      </c>
      <c r="N44" s="17"/>
      <c r="O44" s="21">
        <f>SUM('[1]DRE-Trim-Anual-Cons.Adm'!$E$34:$E$36)</f>
        <v>-9552950.2000000011</v>
      </c>
      <c r="Q44" s="4"/>
    </row>
    <row r="45" spans="2:17" ht="15" customHeight="1" x14ac:dyDescent="0.3">
      <c r="I45" s="21"/>
      <c r="J45" s="21">
        <v>866045</v>
      </c>
      <c r="K45" s="21"/>
      <c r="L45" s="21"/>
      <c r="M45" s="21"/>
      <c r="N45" s="17"/>
      <c r="O45" s="21">
        <f>'[1]DRE-Trim-Anual-Cons.Adm'!$E$37</f>
        <v>229707.97999999992</v>
      </c>
      <c r="Q45" s="4"/>
    </row>
    <row r="46" spans="2:17" ht="15" customHeight="1" x14ac:dyDescent="0.3">
      <c r="I46" s="21"/>
      <c r="J46" s="21"/>
      <c r="K46" s="21"/>
      <c r="L46" s="21"/>
      <c r="M46" s="21"/>
      <c r="N46" s="17"/>
      <c r="O46" s="21"/>
      <c r="Q46" s="4"/>
    </row>
    <row r="47" spans="2:17" ht="15" customHeight="1" x14ac:dyDescent="0.3">
      <c r="I47" s="21"/>
      <c r="J47" s="39">
        <f>SUM(J49:J52)</f>
        <v>9033043</v>
      </c>
      <c r="K47" s="21"/>
      <c r="L47" s="21"/>
      <c r="M47" s="39">
        <f>SUM(M49:M52)</f>
        <v>7338195.2100000009</v>
      </c>
      <c r="N47" s="17"/>
      <c r="O47" s="39">
        <f>SUM('[1]DRE-Trim-Anual-Cons.Adm'!$E$38:$E$40)</f>
        <v>4560584.17</v>
      </c>
      <c r="Q47" s="4"/>
    </row>
    <row r="48" spans="2:17" ht="15" customHeight="1" x14ac:dyDescent="0.3">
      <c r="I48" s="21"/>
      <c r="J48" s="21"/>
      <c r="K48" s="21"/>
      <c r="L48" s="21"/>
      <c r="M48" s="21"/>
      <c r="N48" s="61"/>
      <c r="O48" s="21"/>
      <c r="Q48" s="4"/>
    </row>
    <row r="49" spans="9:19" ht="15" customHeight="1" x14ac:dyDescent="0.3">
      <c r="I49" s="21"/>
      <c r="J49" s="21">
        <v>8745180</v>
      </c>
      <c r="K49" s="21"/>
      <c r="L49" s="21"/>
      <c r="M49" s="21">
        <f>'[2]DRE-Trim-Anual-Cons.Adm'!$E$38</f>
        <v>7333545.8100000005</v>
      </c>
      <c r="N49" s="61"/>
      <c r="O49" s="21">
        <f>'[1]DRE-Trim-Anual-Cons.Adm'!$E$38</f>
        <v>4525612.92</v>
      </c>
      <c r="Q49" s="4"/>
    </row>
    <row r="50" spans="9:19" ht="15" customHeight="1" x14ac:dyDescent="0.3">
      <c r="I50" s="21"/>
      <c r="J50" s="21">
        <v>287863</v>
      </c>
      <c r="K50" s="21"/>
      <c r="L50" s="21"/>
      <c r="M50" s="21">
        <f>'[2]DRE-Trim-Anual-Cons.Adm'!$E$39</f>
        <v>4649.3999999999987</v>
      </c>
      <c r="N50" s="61"/>
      <c r="O50" s="21">
        <f>'[1]DRE-Trim-Anual-Cons.Adm'!$E$39</f>
        <v>4971.2499999999991</v>
      </c>
      <c r="Q50" s="4"/>
    </row>
    <row r="51" spans="9:19" ht="15" customHeight="1" x14ac:dyDescent="0.3">
      <c r="I51" s="21"/>
      <c r="J51" s="21">
        <v>0</v>
      </c>
      <c r="K51" s="21"/>
      <c r="L51" s="21"/>
      <c r="M51" s="21">
        <f>'[2]DRE-Trim-Anual-Cons.Adm'!$E$40</f>
        <v>0</v>
      </c>
      <c r="N51" s="61"/>
      <c r="O51" s="21">
        <f>'[1]DRE-Trim-Anual-Cons.Adm'!$E$40</f>
        <v>30000</v>
      </c>
      <c r="Q51" s="4"/>
    </row>
    <row r="52" spans="9:19" ht="15" customHeight="1" x14ac:dyDescent="0.3">
      <c r="I52" s="21"/>
      <c r="J52" s="21">
        <v>0</v>
      </c>
      <c r="K52" s="21"/>
      <c r="L52" s="21"/>
      <c r="M52" s="21">
        <f>'[2]DRE-Trim-Anual-Cons.Adm'!$E$40</f>
        <v>0</v>
      </c>
      <c r="N52" s="61"/>
      <c r="O52" s="21">
        <f>'[1]DRE-Trim-Anual-Cons.Adm'!$E$40</f>
        <v>30000</v>
      </c>
      <c r="Q52" s="4"/>
    </row>
    <row r="53" spans="9:19" ht="15" customHeight="1" x14ac:dyDescent="0.3">
      <c r="I53" s="21"/>
      <c r="J53" s="21"/>
      <c r="K53" s="21"/>
      <c r="L53" s="21"/>
      <c r="M53" s="21"/>
      <c r="N53" s="61"/>
      <c r="O53" s="21"/>
      <c r="Q53" s="4"/>
      <c r="R53" s="56"/>
      <c r="S53" s="79"/>
    </row>
    <row r="54" spans="9:19" ht="15" customHeight="1" x14ac:dyDescent="0.3">
      <c r="I54" s="21"/>
      <c r="J54" s="21"/>
      <c r="K54" s="21"/>
      <c r="L54" s="21"/>
      <c r="M54" s="21"/>
      <c r="N54" s="61"/>
      <c r="O54" s="21"/>
      <c r="Q54" s="4"/>
      <c r="R54" s="56"/>
      <c r="S54" s="79"/>
    </row>
    <row r="55" spans="9:19" ht="15" customHeight="1" x14ac:dyDescent="0.3">
      <c r="I55" s="21"/>
      <c r="J55" s="39" t="e">
        <f>#REF!</f>
        <v>#REF!</v>
      </c>
      <c r="K55" s="21"/>
      <c r="L55" s="21"/>
      <c r="M55" s="21"/>
      <c r="N55" s="61"/>
      <c r="O55" s="21"/>
      <c r="P55" s="76"/>
      <c r="Q55" s="4"/>
      <c r="R55" s="56"/>
      <c r="S55" s="79"/>
    </row>
    <row r="56" spans="9:19" ht="15" customHeight="1" x14ac:dyDescent="0.3">
      <c r="I56" s="21"/>
      <c r="J56" s="21"/>
      <c r="K56" s="21"/>
      <c r="L56" s="21"/>
      <c r="M56" s="21"/>
      <c r="N56" s="61"/>
      <c r="O56" s="21"/>
      <c r="Q56" s="4"/>
      <c r="R56" s="56"/>
      <c r="S56" s="79"/>
    </row>
    <row r="57" spans="9:19" ht="15" customHeight="1" x14ac:dyDescent="0.3">
      <c r="I57" s="25"/>
      <c r="J57" s="25" t="e">
        <f>#REF!/39400000</f>
        <v>#REF!</v>
      </c>
      <c r="K57" s="25"/>
      <c r="L57" s="25"/>
      <c r="M57" s="25" t="e">
        <f>#REF!/39400000</f>
        <v>#REF!</v>
      </c>
      <c r="N57" s="61"/>
      <c r="O57" s="25" t="e">
        <f>#REF!/39400000</f>
        <v>#REF!</v>
      </c>
      <c r="Q57" s="4"/>
      <c r="R57" s="56"/>
      <c r="S57" s="56"/>
    </row>
    <row r="58" spans="9:19" ht="15" customHeight="1" x14ac:dyDescent="0.3">
      <c r="I58" s="21"/>
      <c r="J58" s="25"/>
      <c r="K58" s="21"/>
      <c r="L58" s="21"/>
      <c r="M58" s="25"/>
      <c r="N58" s="25"/>
      <c r="O58" s="25"/>
      <c r="R58" s="56"/>
      <c r="S58" s="56"/>
    </row>
    <row r="59" spans="9:19" ht="15" customHeight="1" x14ac:dyDescent="0.3">
      <c r="I59" s="86"/>
      <c r="J59" s="86"/>
      <c r="K59" s="86"/>
      <c r="L59" s="86"/>
      <c r="M59" s="86"/>
      <c r="N59" s="86"/>
      <c r="O59" s="86"/>
    </row>
    <row r="60" spans="9:19" ht="15" customHeight="1" x14ac:dyDescent="0.3">
      <c r="I60" s="81"/>
      <c r="J60" s="81"/>
      <c r="K60" s="81"/>
      <c r="L60" s="81"/>
      <c r="M60" s="81"/>
      <c r="N60" s="81"/>
      <c r="O60" s="81"/>
      <c r="S60" s="56"/>
    </row>
    <row r="61" spans="9:19" ht="15" customHeight="1" x14ac:dyDescent="0.3">
      <c r="I61" s="81"/>
      <c r="J61" s="81"/>
      <c r="K61" s="81"/>
      <c r="L61" s="81"/>
      <c r="M61" s="81"/>
      <c r="N61" s="81"/>
      <c r="O61" s="81"/>
    </row>
    <row r="62" spans="9:19" ht="15" customHeight="1" x14ac:dyDescent="0.3">
      <c r="I62" s="81"/>
      <c r="J62" s="81"/>
      <c r="K62" s="81"/>
      <c r="L62" s="81"/>
      <c r="M62" s="81"/>
      <c r="N62" s="81"/>
      <c r="O62" s="81"/>
    </row>
    <row r="63" spans="9:19" ht="15" customHeight="1" x14ac:dyDescent="0.3">
      <c r="M63" s="21"/>
    </row>
    <row r="64" spans="9:19" ht="15" customHeight="1" x14ac:dyDescent="0.3"/>
    <row r="65" spans="9:14" ht="15" customHeight="1" x14ac:dyDescent="0.3">
      <c r="I65" s="84"/>
      <c r="K65" s="84"/>
      <c r="L65" s="84"/>
      <c r="N65" s="81"/>
    </row>
    <row r="66" spans="9:14" ht="15" customHeight="1" x14ac:dyDescent="0.3"/>
    <row r="67" spans="9:14" ht="15" customHeight="1" x14ac:dyDescent="0.3"/>
    <row r="68" spans="9:14" ht="15" customHeight="1" x14ac:dyDescent="0.3"/>
    <row r="69" spans="9:14" ht="15" customHeight="1" x14ac:dyDescent="0.3"/>
    <row r="72" spans="9:14" x14ac:dyDescent="0.3">
      <c r="M72" s="21"/>
    </row>
  </sheetData>
  <mergeCells count="10">
    <mergeCell ref="M13:M14"/>
    <mergeCell ref="O13:O14"/>
    <mergeCell ref="B4:O4"/>
    <mergeCell ref="B7:O7"/>
    <mergeCell ref="B8:O8"/>
    <mergeCell ref="B10:O10"/>
    <mergeCell ref="D13:D14"/>
    <mergeCell ref="F13:F14"/>
    <mergeCell ref="H13:H14"/>
    <mergeCell ref="J13:J14"/>
  </mergeCells>
  <printOptions horizontalCentered="1"/>
  <pageMargins left="0.39370078740157483" right="0.39370078740157483" top="0.39370078740157483" bottom="0.39370078740157483" header="0.39" footer="0.19685039370078741"/>
  <pageSetup paperSize="9" scale="7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0F065D-E82D-4500-9BF1-EFDA3F982513}">
  <sheetPr>
    <tabColor rgb="FF00B0F0"/>
  </sheetPr>
  <dimension ref="A1:AP83"/>
  <sheetViews>
    <sheetView showGridLines="0" zoomScaleNormal="100" zoomScaleSheetLayoutView="85" workbookViewId="0">
      <pane ySplit="11" topLeftCell="A60" activePane="bottomLeft" state="frozen"/>
      <selection activeCell="B40" sqref="B40"/>
      <selection pane="bottomLeft" activeCell="A5" sqref="A5:M79"/>
    </sheetView>
  </sheetViews>
  <sheetFormatPr defaultColWidth="9.140625" defaultRowHeight="19.5" x14ac:dyDescent="0.4"/>
  <cols>
    <col min="1" max="1" width="2.7109375" style="1" customWidth="1"/>
    <col min="2" max="2" width="63.5703125" style="2" customWidth="1"/>
    <col min="3" max="3" width="4.28515625" style="3" customWidth="1"/>
    <col min="4" max="4" width="15.42578125" style="3" bestFit="1" customWidth="1"/>
    <col min="5" max="5" width="4.28515625" style="3" customWidth="1"/>
    <col min="6" max="6" width="15.42578125" style="32" bestFit="1" customWidth="1"/>
    <col min="7" max="7" width="4.28515625" style="3" hidden="1" customWidth="1"/>
    <col min="8" max="8" width="15.42578125" style="3" hidden="1" customWidth="1"/>
    <col min="9" max="9" width="4.28515625" style="3" hidden="1" customWidth="1"/>
    <col min="10" max="10" width="15.42578125" style="3" hidden="1" customWidth="1"/>
    <col min="11" max="11" width="4.28515625" style="3" hidden="1" customWidth="1"/>
    <col min="12" max="12" width="7.28515625" style="2" hidden="1" customWidth="1"/>
    <col min="13" max="13" width="14.85546875" style="3" hidden="1" customWidth="1"/>
    <col min="14" max="14" width="15.140625" style="2" bestFit="1" customWidth="1"/>
    <col min="15" max="15" width="15.140625" style="2" customWidth="1"/>
    <col min="16" max="16" width="12.42578125" style="109" hidden="1" customWidth="1"/>
    <col min="17" max="17" width="14.28515625" style="3" hidden="1" customWidth="1"/>
    <col min="18" max="18" width="15.85546875" style="2" hidden="1" customWidth="1"/>
    <col min="19" max="19" width="12.7109375" style="2" hidden="1" customWidth="1"/>
    <col min="20" max="20" width="15.85546875" style="2" hidden="1" customWidth="1"/>
    <col min="21" max="21" width="16.140625" style="2" hidden="1" customWidth="1"/>
    <col min="22" max="32" width="0" style="2" hidden="1" customWidth="1"/>
    <col min="33" max="33" width="11.85546875" style="2" bestFit="1" customWidth="1"/>
    <col min="34" max="34" width="9.140625" style="2"/>
    <col min="35" max="35" width="10.28515625" style="2" bestFit="1" customWidth="1"/>
    <col min="36" max="16384" width="9.140625" style="2"/>
  </cols>
  <sheetData>
    <row r="1" spans="1:38" x14ac:dyDescent="0.4">
      <c r="C1" s="32"/>
      <c r="D1" s="32"/>
      <c r="E1" s="32"/>
      <c r="G1" s="32"/>
      <c r="H1" s="32"/>
      <c r="I1" s="32"/>
      <c r="J1" s="32"/>
      <c r="K1" s="32"/>
      <c r="M1" s="32"/>
    </row>
    <row r="2" spans="1:38" x14ac:dyDescent="0.4">
      <c r="C2" s="32"/>
      <c r="D2" s="32"/>
      <c r="E2" s="32"/>
      <c r="G2" s="32"/>
      <c r="H2" s="32"/>
      <c r="I2" s="32"/>
      <c r="J2" s="32"/>
      <c r="K2" s="32"/>
      <c r="M2" s="32"/>
    </row>
    <row r="3" spans="1:38" ht="15" customHeight="1" x14ac:dyDescent="0.4">
      <c r="C3" s="32"/>
      <c r="D3" s="32"/>
      <c r="E3" s="32"/>
      <c r="G3" s="32"/>
      <c r="H3" s="32"/>
      <c r="I3" s="32"/>
      <c r="J3" s="32"/>
      <c r="K3" s="32"/>
      <c r="M3" s="32"/>
    </row>
    <row r="4" spans="1:38" ht="14.25" customHeight="1" x14ac:dyDescent="0.4">
      <c r="C4" s="32"/>
      <c r="D4" s="32"/>
      <c r="E4" s="32"/>
      <c r="G4" s="32"/>
      <c r="H4" s="32"/>
      <c r="I4" s="32"/>
      <c r="J4" s="32"/>
      <c r="K4" s="32"/>
      <c r="M4" s="32"/>
    </row>
    <row r="5" spans="1:38" ht="15" customHeight="1" x14ac:dyDescent="0.3">
      <c r="A5" s="16" t="s">
        <v>0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</row>
    <row r="6" spans="1:38" ht="13.5" customHeight="1" x14ac:dyDescent="0.3">
      <c r="A6" s="195" t="str">
        <f>BALANÇO!A5</f>
        <v>DEMONSTRAÇÕES FINANCEIRAS LEVANTADAS EM 31 DE DEZEMBRO DE 2021 E 2020</v>
      </c>
      <c r="B6" s="195"/>
      <c r="C6" s="195"/>
      <c r="D6" s="195"/>
      <c r="E6" s="195"/>
      <c r="F6" s="195"/>
      <c r="G6" s="195"/>
      <c r="H6" s="195"/>
      <c r="I6" s="195"/>
      <c r="J6" s="195"/>
      <c r="K6" s="195"/>
      <c r="L6" s="195"/>
      <c r="M6" s="195"/>
      <c r="N6" s="17"/>
      <c r="O6" s="17"/>
    </row>
    <row r="7" spans="1:38" ht="13.5" customHeight="1" x14ac:dyDescent="0.3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17"/>
      <c r="O7" s="17"/>
    </row>
    <row r="8" spans="1:38" ht="15" customHeight="1" x14ac:dyDescent="0.3">
      <c r="A8" s="196" t="s">
        <v>149</v>
      </c>
      <c r="B8" s="196"/>
      <c r="C8" s="196"/>
      <c r="D8" s="196"/>
      <c r="E8" s="196"/>
      <c r="F8" s="196"/>
      <c r="G8" s="196"/>
      <c r="H8" s="196"/>
      <c r="I8" s="196"/>
      <c r="J8" s="196"/>
      <c r="K8" s="196"/>
      <c r="L8" s="196"/>
      <c r="M8" s="196"/>
      <c r="N8" s="17"/>
      <c r="O8" s="17"/>
      <c r="P8" s="109" t="s">
        <v>150</v>
      </c>
    </row>
    <row r="9" spans="1:38" ht="15" customHeight="1" x14ac:dyDescent="0.3">
      <c r="A9" s="51" t="s">
        <v>1</v>
      </c>
      <c r="B9" s="38"/>
      <c r="C9" s="38"/>
      <c r="D9" s="110"/>
      <c r="E9" s="38"/>
      <c r="F9" s="110"/>
      <c r="G9" s="38"/>
      <c r="H9" s="110"/>
      <c r="I9" s="38"/>
      <c r="J9" s="110"/>
      <c r="K9" s="38"/>
      <c r="L9" s="38"/>
      <c r="M9" s="38"/>
      <c r="N9" s="17"/>
      <c r="O9" s="17"/>
    </row>
    <row r="10" spans="1:38" ht="12.75" customHeight="1" x14ac:dyDescent="0.3">
      <c r="A10" s="17"/>
      <c r="B10" s="17"/>
      <c r="C10" s="17"/>
      <c r="D10" s="203">
        <f>DRA!F13</f>
        <v>44561</v>
      </c>
      <c r="E10" s="17"/>
      <c r="F10" s="203">
        <f>DRE!G13</f>
        <v>44196</v>
      </c>
      <c r="G10" s="17"/>
      <c r="H10" s="204">
        <v>2015</v>
      </c>
      <c r="I10" s="17"/>
      <c r="J10" s="17"/>
      <c r="K10" s="17"/>
      <c r="L10" s="17"/>
      <c r="M10" s="57"/>
      <c r="N10" s="17"/>
      <c r="O10" s="17"/>
    </row>
    <row r="11" spans="1:38" ht="15" customHeight="1" x14ac:dyDescent="0.4">
      <c r="B11" s="17"/>
      <c r="C11" s="111"/>
      <c r="D11" s="201"/>
      <c r="E11" s="111"/>
      <c r="F11" s="201"/>
      <c r="G11" s="111"/>
      <c r="H11" s="201"/>
      <c r="I11" s="111"/>
      <c r="J11" s="201">
        <v>2014</v>
      </c>
      <c r="K11" s="111"/>
      <c r="L11" s="17"/>
      <c r="M11" s="201">
        <v>2011</v>
      </c>
      <c r="N11" s="112"/>
      <c r="O11" s="112"/>
    </row>
    <row r="12" spans="1:38" ht="12.75" customHeight="1" x14ac:dyDescent="0.3">
      <c r="A12" s="113" t="s">
        <v>151</v>
      </c>
      <c r="B12" s="17"/>
      <c r="C12" s="111"/>
      <c r="D12" s="114"/>
      <c r="E12" s="111"/>
      <c r="F12" s="114"/>
      <c r="G12" s="111"/>
      <c r="H12" s="114"/>
      <c r="I12" s="111"/>
      <c r="J12" s="201"/>
      <c r="K12" s="111"/>
      <c r="L12" s="17"/>
      <c r="M12" s="201"/>
      <c r="N12" s="112"/>
      <c r="O12" s="112"/>
    </row>
    <row r="13" spans="1:38" ht="15.75" x14ac:dyDescent="0.35">
      <c r="A13" s="151"/>
      <c r="B13" s="152"/>
      <c r="C13" s="29"/>
      <c r="D13" s="29"/>
      <c r="E13" s="29"/>
      <c r="F13" s="29"/>
      <c r="G13" s="29"/>
      <c r="H13" s="29"/>
      <c r="I13" s="29"/>
      <c r="J13" s="29"/>
      <c r="K13" s="29"/>
      <c r="L13" s="152"/>
      <c r="M13" s="29"/>
      <c r="N13" s="153"/>
      <c r="O13" s="153"/>
      <c r="P13" s="154"/>
      <c r="Q13" s="32"/>
      <c r="R13" s="155"/>
      <c r="S13" s="155"/>
      <c r="T13" s="155"/>
      <c r="U13" s="155"/>
      <c r="V13" s="155"/>
      <c r="W13" s="155"/>
      <c r="X13" s="155"/>
      <c r="Y13" s="155"/>
      <c r="Z13" s="155"/>
      <c r="AA13" s="155"/>
      <c r="AB13" s="155"/>
      <c r="AC13" s="155"/>
      <c r="AD13" s="155"/>
      <c r="AE13" s="155"/>
      <c r="AF13" s="155"/>
      <c r="AG13" s="155"/>
      <c r="AH13" s="155"/>
      <c r="AI13" s="155"/>
      <c r="AJ13" s="155"/>
      <c r="AK13" s="155"/>
      <c r="AL13" s="155"/>
    </row>
    <row r="14" spans="1:38" ht="15" x14ac:dyDescent="0.3">
      <c r="A14" s="152" t="s">
        <v>152</v>
      </c>
      <c r="B14" s="152"/>
      <c r="C14" s="28"/>
      <c r="D14" s="28">
        <v>146630</v>
      </c>
      <c r="E14" s="28"/>
      <c r="F14" s="28">
        <v>71610</v>
      </c>
      <c r="G14" s="28"/>
      <c r="H14" s="28">
        <v>51672042</v>
      </c>
      <c r="I14" s="28"/>
      <c r="J14" s="28">
        <v>38784613</v>
      </c>
      <c r="K14" s="28"/>
      <c r="L14" s="152"/>
      <c r="M14" s="28">
        <f>'[3]DRE-Trim-Anual-Cons.Adm'!$E$33+'[3]DRE-Trim-Anual-Cons.Adm'!$E$41</f>
        <v>32229629.499999948</v>
      </c>
      <c r="N14" s="156"/>
      <c r="O14" s="156"/>
      <c r="P14" s="154"/>
      <c r="Q14" s="32"/>
      <c r="R14" s="155"/>
      <c r="S14" s="155"/>
      <c r="T14" s="155"/>
      <c r="U14" s="155"/>
      <c r="V14" s="155"/>
      <c r="W14" s="155"/>
      <c r="X14" s="155"/>
      <c r="Y14" s="155"/>
      <c r="Z14" s="155"/>
      <c r="AA14" s="155"/>
      <c r="AB14" s="155"/>
      <c r="AC14" s="155"/>
      <c r="AD14" s="155"/>
      <c r="AE14" s="155"/>
      <c r="AF14" s="155"/>
      <c r="AG14" s="155"/>
      <c r="AH14" s="155"/>
      <c r="AI14" s="155"/>
      <c r="AJ14" s="155"/>
      <c r="AK14" s="155"/>
      <c r="AL14" s="155"/>
    </row>
    <row r="15" spans="1:38" ht="15" x14ac:dyDescent="0.3">
      <c r="A15" s="152"/>
      <c r="B15" s="152"/>
      <c r="C15" s="28"/>
      <c r="D15" s="28"/>
      <c r="E15" s="28"/>
      <c r="F15" s="28"/>
      <c r="G15" s="28"/>
      <c r="H15" s="28"/>
      <c r="I15" s="28"/>
      <c r="J15" s="28"/>
      <c r="K15" s="28"/>
      <c r="L15" s="152"/>
      <c r="M15" s="28"/>
      <c r="N15" s="152"/>
      <c r="O15" s="152"/>
      <c r="P15" s="154"/>
      <c r="Q15" s="157"/>
      <c r="R15" s="155"/>
      <c r="S15" s="155"/>
      <c r="T15" s="155"/>
      <c r="U15" s="155"/>
      <c r="V15" s="155"/>
      <c r="W15" s="155"/>
      <c r="X15" s="155"/>
      <c r="Y15" s="155"/>
      <c r="Z15" s="155"/>
      <c r="AA15" s="155"/>
      <c r="AB15" s="155"/>
      <c r="AC15" s="155"/>
      <c r="AD15" s="155"/>
      <c r="AE15" s="155"/>
      <c r="AF15" s="155"/>
      <c r="AG15" s="155"/>
      <c r="AH15" s="155"/>
      <c r="AI15" s="155"/>
      <c r="AJ15" s="155"/>
      <c r="AK15" s="155"/>
      <c r="AL15" s="155"/>
    </row>
    <row r="16" spans="1:38" ht="15" hidden="1" customHeight="1" x14ac:dyDescent="0.3">
      <c r="A16" s="152" t="s">
        <v>228</v>
      </c>
      <c r="B16" s="152"/>
      <c r="C16" s="28"/>
      <c r="D16" s="28"/>
      <c r="E16" s="28"/>
      <c r="F16" s="28"/>
      <c r="G16" s="28"/>
      <c r="H16" s="28"/>
      <c r="I16" s="28"/>
      <c r="J16" s="28"/>
      <c r="K16" s="28"/>
      <c r="L16" s="152"/>
      <c r="M16" s="28"/>
      <c r="N16" s="152"/>
      <c r="O16" s="152"/>
      <c r="P16" s="154"/>
      <c r="Q16" s="157"/>
      <c r="R16" s="155"/>
      <c r="S16" s="155"/>
      <c r="T16" s="155"/>
      <c r="U16" s="155"/>
      <c r="V16" s="155"/>
      <c r="W16" s="155"/>
      <c r="X16" s="155"/>
      <c r="Y16" s="155"/>
      <c r="Z16" s="155"/>
      <c r="AA16" s="155"/>
      <c r="AB16" s="155"/>
      <c r="AC16" s="155"/>
      <c r="AD16" s="155"/>
      <c r="AE16" s="155"/>
      <c r="AF16" s="155"/>
      <c r="AG16" s="155"/>
      <c r="AH16" s="155"/>
      <c r="AI16" s="155"/>
      <c r="AJ16" s="155"/>
      <c r="AK16" s="155"/>
      <c r="AL16" s="155"/>
    </row>
    <row r="17" spans="1:42" ht="15" hidden="1" customHeight="1" x14ac:dyDescent="0.3">
      <c r="A17" s="152" t="s">
        <v>153</v>
      </c>
      <c r="B17" s="152"/>
      <c r="C17" s="28"/>
      <c r="D17" s="28"/>
      <c r="E17" s="28"/>
      <c r="F17" s="28"/>
      <c r="G17" s="28"/>
      <c r="H17" s="28"/>
      <c r="I17" s="28"/>
      <c r="J17" s="28"/>
      <c r="K17" s="28"/>
      <c r="L17" s="152"/>
      <c r="M17" s="28"/>
      <c r="N17" s="152"/>
      <c r="O17" s="152"/>
      <c r="P17" s="154"/>
      <c r="Q17" s="157"/>
      <c r="R17" s="155"/>
      <c r="S17" s="155"/>
      <c r="T17" s="155"/>
      <c r="U17" s="155"/>
      <c r="V17" s="155"/>
      <c r="W17" s="155"/>
      <c r="X17" s="155"/>
      <c r="Y17" s="155"/>
      <c r="Z17" s="155"/>
      <c r="AA17" s="155"/>
      <c r="AB17" s="155"/>
      <c r="AC17" s="155"/>
      <c r="AD17" s="155"/>
      <c r="AE17" s="155"/>
      <c r="AF17" s="155"/>
      <c r="AG17" s="155"/>
      <c r="AH17" s="155"/>
      <c r="AI17" s="155"/>
      <c r="AJ17" s="155"/>
      <c r="AK17" s="155"/>
      <c r="AL17" s="155"/>
    </row>
    <row r="18" spans="1:42" ht="15" hidden="1" customHeight="1" x14ac:dyDescent="0.3">
      <c r="A18" s="152"/>
      <c r="B18" s="152" t="s">
        <v>154</v>
      </c>
      <c r="C18" s="28"/>
      <c r="D18" s="28">
        <v>0</v>
      </c>
      <c r="E18" s="28"/>
      <c r="F18" s="28">
        <v>0</v>
      </c>
      <c r="G18" s="28"/>
      <c r="H18" s="28">
        <v>7192207</v>
      </c>
      <c r="I18" s="28"/>
      <c r="J18" s="28">
        <f>5402889-1</f>
        <v>5402888</v>
      </c>
      <c r="K18" s="28"/>
      <c r="L18" s="152"/>
      <c r="M18" s="28">
        <v>3025499.95</v>
      </c>
      <c r="N18" s="152"/>
      <c r="O18" s="158"/>
      <c r="P18" s="154"/>
      <c r="Q18" s="157"/>
      <c r="R18" s="155"/>
      <c r="S18" s="155"/>
      <c r="T18" s="155"/>
      <c r="U18" s="155"/>
      <c r="V18" s="155"/>
      <c r="W18" s="155"/>
      <c r="X18" s="155"/>
      <c r="Y18" s="155"/>
      <c r="Z18" s="155"/>
      <c r="AA18" s="155"/>
      <c r="AB18" s="155"/>
      <c r="AC18" s="155"/>
      <c r="AD18" s="155"/>
      <c r="AE18" s="155"/>
      <c r="AF18" s="155"/>
      <c r="AG18" s="159"/>
      <c r="AH18" s="155"/>
      <c r="AI18" s="155"/>
      <c r="AJ18" s="155"/>
      <c r="AK18" s="155"/>
      <c r="AL18" s="155"/>
    </row>
    <row r="19" spans="1:42" ht="15" hidden="1" customHeight="1" x14ac:dyDescent="0.3">
      <c r="A19" s="152"/>
      <c r="B19" s="152" t="s">
        <v>155</v>
      </c>
      <c r="C19" s="28"/>
      <c r="D19" s="28">
        <v>0</v>
      </c>
      <c r="E19" s="28"/>
      <c r="F19" s="28">
        <v>0</v>
      </c>
      <c r="G19" s="28"/>
      <c r="H19" s="28">
        <v>0</v>
      </c>
      <c r="I19" s="28"/>
      <c r="J19" s="28">
        <v>-6595</v>
      </c>
      <c r="K19" s="28"/>
      <c r="L19" s="152"/>
      <c r="M19" s="28"/>
      <c r="N19" s="160"/>
      <c r="O19" s="152"/>
      <c r="P19" s="154"/>
      <c r="Q19" s="32"/>
      <c r="R19" s="155"/>
      <c r="S19" s="155"/>
      <c r="T19" s="155"/>
      <c r="U19" s="155"/>
      <c r="V19" s="155"/>
      <c r="W19" s="155"/>
      <c r="X19" s="155"/>
      <c r="Y19" s="155"/>
      <c r="Z19" s="155"/>
      <c r="AA19" s="155"/>
      <c r="AB19" s="155"/>
      <c r="AC19" s="155"/>
      <c r="AD19" s="155"/>
      <c r="AE19" s="155"/>
      <c r="AF19" s="155"/>
      <c r="AG19" s="155"/>
      <c r="AH19" s="155"/>
      <c r="AI19" s="155"/>
      <c r="AJ19" s="155"/>
      <c r="AK19" s="155"/>
      <c r="AL19" s="155"/>
    </row>
    <row r="20" spans="1:42" ht="15" customHeight="1" x14ac:dyDescent="0.3">
      <c r="A20" s="152"/>
      <c r="B20" s="152" t="s">
        <v>156</v>
      </c>
      <c r="C20" s="28"/>
      <c r="D20" s="28">
        <v>0</v>
      </c>
      <c r="E20" s="28"/>
      <c r="F20" s="28">
        <v>39.738709999999998</v>
      </c>
      <c r="G20" s="28"/>
      <c r="H20" s="28"/>
      <c r="I20" s="28"/>
      <c r="J20" s="28"/>
      <c r="K20" s="28"/>
      <c r="L20" s="152"/>
      <c r="M20" s="28"/>
      <c r="N20" s="160"/>
      <c r="O20" s="152"/>
      <c r="P20" s="154"/>
      <c r="Q20" s="32"/>
      <c r="R20" s="155"/>
      <c r="S20" s="155"/>
      <c r="T20" s="155"/>
      <c r="U20" s="155"/>
      <c r="V20" s="155"/>
      <c r="W20" s="155"/>
      <c r="X20" s="155"/>
      <c r="Y20" s="155"/>
      <c r="Z20" s="155"/>
      <c r="AA20" s="155"/>
      <c r="AB20" s="155"/>
      <c r="AC20" s="155"/>
      <c r="AD20" s="155"/>
      <c r="AE20" s="155"/>
      <c r="AF20" s="155"/>
      <c r="AG20" s="155"/>
      <c r="AH20" s="155"/>
      <c r="AI20" s="155"/>
      <c r="AJ20" s="155"/>
      <c r="AK20" s="155"/>
      <c r="AL20" s="155"/>
    </row>
    <row r="21" spans="1:42" ht="15" customHeight="1" x14ac:dyDescent="0.35">
      <c r="A21" s="152"/>
      <c r="B21" s="152" t="s">
        <v>157</v>
      </c>
      <c r="C21" s="28"/>
      <c r="D21" s="28">
        <v>0</v>
      </c>
      <c r="E21" s="28"/>
      <c r="F21" s="28">
        <v>144</v>
      </c>
      <c r="G21" s="28"/>
      <c r="H21" s="28">
        <v>0</v>
      </c>
      <c r="I21" s="28"/>
      <c r="J21" s="28">
        <v>5777</v>
      </c>
      <c r="K21" s="28"/>
      <c r="L21" s="152"/>
      <c r="M21" s="28"/>
      <c r="N21" s="160"/>
      <c r="O21" s="152"/>
      <c r="P21" s="154"/>
      <c r="Q21" s="32"/>
      <c r="R21" s="155"/>
      <c r="S21" s="155"/>
      <c r="T21" s="155"/>
      <c r="U21" s="161"/>
      <c r="V21" s="155"/>
      <c r="W21" s="155"/>
      <c r="X21" s="155"/>
      <c r="Y21" s="155"/>
      <c r="Z21" s="155"/>
      <c r="AA21" s="155"/>
      <c r="AB21" s="155"/>
      <c r="AC21" s="155"/>
      <c r="AD21" s="155"/>
      <c r="AE21" s="155"/>
      <c r="AF21" s="155"/>
      <c r="AG21" s="155"/>
      <c r="AH21" s="155"/>
      <c r="AI21" s="155"/>
      <c r="AJ21" s="155"/>
      <c r="AK21" s="155"/>
      <c r="AL21" s="155"/>
    </row>
    <row r="22" spans="1:42" ht="15" customHeight="1" x14ac:dyDescent="0.3">
      <c r="A22" s="152"/>
      <c r="B22" s="152" t="s">
        <v>158</v>
      </c>
      <c r="C22" s="28"/>
      <c r="D22" s="28">
        <v>-3</v>
      </c>
      <c r="E22" s="28"/>
      <c r="F22" s="28">
        <v>-151</v>
      </c>
      <c r="G22" s="28"/>
      <c r="H22" s="28">
        <v>-2205</v>
      </c>
      <c r="I22" s="28"/>
      <c r="J22" s="28"/>
      <c r="K22" s="28"/>
      <c r="L22" s="152"/>
      <c r="M22" s="28"/>
      <c r="N22" s="160"/>
      <c r="O22" s="152"/>
      <c r="P22" s="162"/>
      <c r="Q22" s="28"/>
      <c r="R22" s="32"/>
      <c r="S22" s="32"/>
      <c r="T22" s="155"/>
      <c r="U22" s="32"/>
      <c r="V22" s="155"/>
      <c r="W22" s="155"/>
      <c r="X22" s="155"/>
      <c r="Y22" s="155"/>
      <c r="Z22" s="155"/>
      <c r="AA22" s="155"/>
      <c r="AB22" s="155"/>
      <c r="AC22" s="155"/>
      <c r="AD22" s="155"/>
      <c r="AE22" s="155"/>
      <c r="AF22" s="155"/>
      <c r="AG22" s="155"/>
      <c r="AH22" s="155"/>
      <c r="AI22" s="155"/>
      <c r="AJ22" s="155"/>
      <c r="AK22" s="155"/>
      <c r="AL22" s="155"/>
    </row>
    <row r="23" spans="1:42" ht="15" customHeight="1" x14ac:dyDescent="0.3">
      <c r="A23" s="152"/>
      <c r="B23" s="152" t="s">
        <v>159</v>
      </c>
      <c r="C23" s="28"/>
      <c r="D23" s="28">
        <v>21931</v>
      </c>
      <c r="E23" s="28"/>
      <c r="F23" s="28">
        <v>18988</v>
      </c>
      <c r="G23" s="28"/>
      <c r="H23" s="28">
        <f>-50988+2205</f>
        <v>-48783</v>
      </c>
      <c r="I23" s="28"/>
      <c r="J23" s="28">
        <f>2462648+224786+1</f>
        <v>2687435</v>
      </c>
      <c r="K23" s="28"/>
      <c r="L23" s="152"/>
      <c r="M23" s="28"/>
      <c r="N23" s="160"/>
      <c r="O23" s="152"/>
      <c r="P23" s="162"/>
      <c r="Q23" s="28"/>
      <c r="R23" s="32"/>
      <c r="S23" s="32"/>
      <c r="T23" s="155"/>
      <c r="U23" s="32"/>
      <c r="V23" s="155"/>
      <c r="W23" s="155"/>
      <c r="X23" s="155"/>
      <c r="Y23" s="155"/>
      <c r="Z23" s="155"/>
      <c r="AA23" s="155"/>
      <c r="AB23" s="155"/>
      <c r="AC23" s="155"/>
      <c r="AD23" s="155"/>
      <c r="AE23" s="155"/>
      <c r="AF23" s="155"/>
      <c r="AG23" s="155"/>
      <c r="AH23" s="155"/>
      <c r="AI23" s="155"/>
      <c r="AJ23" s="155"/>
      <c r="AK23" s="155"/>
      <c r="AL23" s="155"/>
      <c r="AN23" s="56"/>
      <c r="AP23" s="56"/>
    </row>
    <row r="24" spans="1:42" ht="15" customHeight="1" x14ac:dyDescent="0.3">
      <c r="A24" s="152"/>
      <c r="B24" s="152" t="s">
        <v>160</v>
      </c>
      <c r="C24" s="28"/>
      <c r="D24" s="28">
        <v>-908</v>
      </c>
      <c r="E24" s="28"/>
      <c r="F24" s="28">
        <v>-1319</v>
      </c>
      <c r="G24" s="28"/>
      <c r="H24" s="28"/>
      <c r="I24" s="28"/>
      <c r="J24" s="28"/>
      <c r="K24" s="28"/>
      <c r="L24" s="152"/>
      <c r="M24" s="28"/>
      <c r="N24" s="160"/>
      <c r="O24" s="152"/>
      <c r="P24" s="162"/>
      <c r="Q24" s="28"/>
      <c r="R24" s="32"/>
      <c r="S24" s="32"/>
      <c r="T24" s="155"/>
      <c r="U24" s="32"/>
      <c r="V24" s="155"/>
      <c r="W24" s="155"/>
      <c r="X24" s="155"/>
      <c r="Y24" s="155"/>
      <c r="Z24" s="155"/>
      <c r="AA24" s="155"/>
      <c r="AB24" s="155"/>
      <c r="AC24" s="155"/>
      <c r="AD24" s="155"/>
      <c r="AE24" s="155"/>
      <c r="AF24" s="155"/>
      <c r="AG24" s="155"/>
      <c r="AH24" s="155"/>
      <c r="AI24" s="155"/>
      <c r="AJ24" s="155"/>
      <c r="AK24" s="155"/>
      <c r="AL24" s="155"/>
      <c r="AN24" s="56"/>
      <c r="AP24" s="56"/>
    </row>
    <row r="25" spans="1:42" ht="15" customHeight="1" x14ac:dyDescent="0.3">
      <c r="A25" s="152"/>
      <c r="B25" s="155"/>
      <c r="C25" s="32"/>
      <c r="D25" s="32"/>
      <c r="E25" s="32"/>
      <c r="G25" s="28"/>
      <c r="H25" s="28"/>
      <c r="I25" s="28"/>
      <c r="J25" s="28"/>
      <c r="K25" s="28"/>
      <c r="L25" s="152"/>
      <c r="M25" s="28"/>
      <c r="N25" s="152"/>
      <c r="O25" s="152"/>
      <c r="P25" s="154"/>
      <c r="Q25" s="32"/>
      <c r="R25" s="155"/>
      <c r="S25" s="155"/>
      <c r="T25" s="155"/>
      <c r="U25" s="32"/>
      <c r="V25" s="155"/>
      <c r="W25" s="155"/>
      <c r="X25" s="155"/>
      <c r="Y25" s="155"/>
      <c r="Z25" s="155"/>
      <c r="AA25" s="155"/>
      <c r="AB25" s="155"/>
      <c r="AC25" s="155"/>
      <c r="AD25" s="155"/>
      <c r="AE25" s="155"/>
      <c r="AF25" s="155"/>
      <c r="AG25" s="155"/>
      <c r="AH25" s="155"/>
      <c r="AI25" s="155"/>
      <c r="AJ25" s="155"/>
      <c r="AK25" s="155"/>
      <c r="AL25" s="155"/>
    </row>
    <row r="26" spans="1:42" ht="15" customHeight="1" x14ac:dyDescent="0.3">
      <c r="A26" s="152" t="s">
        <v>229</v>
      </c>
      <c r="B26" s="152"/>
      <c r="C26" s="28"/>
      <c r="D26" s="28">
        <v>167650</v>
      </c>
      <c r="E26" s="28"/>
      <c r="F26" s="28">
        <v>89311.738710000005</v>
      </c>
      <c r="G26" s="28"/>
      <c r="H26" s="28">
        <f>SUM(H14:H23)</f>
        <v>58813261</v>
      </c>
      <c r="I26" s="28"/>
      <c r="J26" s="28">
        <f>SUM(J14:J23)</f>
        <v>46874118</v>
      </c>
      <c r="K26" s="28"/>
      <c r="L26" s="152"/>
      <c r="M26" s="28">
        <f>SUM(M14:M18)</f>
        <v>35255129.449999951</v>
      </c>
      <c r="N26" s="152"/>
      <c r="O26" s="152"/>
      <c r="P26" s="154"/>
      <c r="Q26" s="32"/>
      <c r="R26" s="155"/>
      <c r="S26" s="155"/>
      <c r="T26" s="155"/>
      <c r="U26" s="32"/>
      <c r="V26" s="155"/>
      <c r="W26" s="155"/>
      <c r="X26" s="155"/>
      <c r="Y26" s="155"/>
      <c r="Z26" s="155"/>
      <c r="AA26" s="155"/>
      <c r="AB26" s="155"/>
      <c r="AC26" s="155"/>
      <c r="AD26" s="155"/>
      <c r="AE26" s="155"/>
      <c r="AF26" s="155"/>
      <c r="AG26" s="155"/>
      <c r="AH26" s="155"/>
      <c r="AI26" s="155"/>
      <c r="AJ26" s="155"/>
      <c r="AK26" s="155"/>
      <c r="AL26" s="155"/>
      <c r="AO26" s="115"/>
    </row>
    <row r="27" spans="1:42" ht="15" customHeight="1" x14ac:dyDescent="0.35">
      <c r="A27" s="152"/>
      <c r="B27" s="152"/>
      <c r="C27" s="28"/>
      <c r="D27" s="28"/>
      <c r="E27" s="28"/>
      <c r="F27" s="28"/>
      <c r="G27" s="28"/>
      <c r="H27" s="28"/>
      <c r="I27" s="28"/>
      <c r="J27" s="28"/>
      <c r="K27" s="28"/>
      <c r="L27" s="152"/>
      <c r="M27" s="28"/>
      <c r="N27" s="152"/>
      <c r="O27" s="152"/>
      <c r="P27" s="154"/>
      <c r="Q27" s="32"/>
      <c r="R27" s="155"/>
      <c r="S27" s="155"/>
      <c r="T27" s="155"/>
      <c r="U27" s="161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  <c r="AF27" s="155"/>
      <c r="AG27" s="155"/>
      <c r="AH27" s="155"/>
      <c r="AI27" s="155"/>
      <c r="AJ27" s="155"/>
      <c r="AK27" s="155"/>
      <c r="AL27" s="155"/>
    </row>
    <row r="28" spans="1:42" ht="15" customHeight="1" x14ac:dyDescent="0.35">
      <c r="A28" s="152" t="s">
        <v>161</v>
      </c>
      <c r="B28" s="152"/>
      <c r="C28" s="29"/>
      <c r="D28" s="29">
        <v>-19390</v>
      </c>
      <c r="E28" s="29"/>
      <c r="F28" s="29">
        <v>78385</v>
      </c>
      <c r="G28" s="29"/>
      <c r="H28" s="29">
        <f>SUM(H29:H35)</f>
        <v>-3414297</v>
      </c>
      <c r="I28" s="29"/>
      <c r="J28" s="29">
        <f>SUM(J29:J35)</f>
        <v>18906206</v>
      </c>
      <c r="K28" s="29"/>
      <c r="L28" s="152"/>
      <c r="M28" s="29">
        <f>SUM(M29:M35)</f>
        <v>4354189.20000003</v>
      </c>
      <c r="N28" s="158"/>
      <c r="O28" s="158"/>
      <c r="P28" s="154"/>
      <c r="Q28" s="32"/>
      <c r="R28" s="155"/>
      <c r="S28" s="155"/>
      <c r="T28" s="155"/>
      <c r="U28" s="159"/>
      <c r="V28" s="155"/>
      <c r="W28" s="155"/>
      <c r="X28" s="155"/>
      <c r="Y28" s="155"/>
      <c r="Z28" s="155"/>
      <c r="AA28" s="155"/>
      <c r="AB28" s="155"/>
      <c r="AC28" s="155"/>
      <c r="AD28" s="155"/>
      <c r="AE28" s="155"/>
      <c r="AF28" s="155"/>
      <c r="AG28" s="155"/>
      <c r="AH28" s="155"/>
      <c r="AI28" s="155"/>
      <c r="AJ28" s="155"/>
      <c r="AK28" s="155"/>
      <c r="AL28" s="155"/>
    </row>
    <row r="29" spans="1:42" ht="15" customHeight="1" x14ac:dyDescent="0.3">
      <c r="A29" s="163"/>
      <c r="B29" s="152" t="s">
        <v>162</v>
      </c>
      <c r="C29" s="28"/>
      <c r="D29" s="28">
        <v>-28057</v>
      </c>
      <c r="E29" s="28"/>
      <c r="F29" s="28">
        <v>45943</v>
      </c>
      <c r="G29" s="28"/>
      <c r="H29" s="28">
        <f>[4]BALANÇO!G17-[4]BALANÇO!F17</f>
        <v>-13445370</v>
      </c>
      <c r="I29" s="28"/>
      <c r="J29" s="28">
        <f>-3147355-9242</f>
        <v>-3156597</v>
      </c>
      <c r="K29" s="28"/>
      <c r="L29" s="152"/>
      <c r="M29" s="28">
        <v>-3812597.9699999699</v>
      </c>
      <c r="N29" s="75"/>
      <c r="O29" s="75"/>
      <c r="P29" s="154"/>
      <c r="Q29" s="32"/>
      <c r="R29" s="155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  <c r="AF29" s="155"/>
      <c r="AG29" s="155"/>
      <c r="AH29" s="155"/>
      <c r="AI29" s="155"/>
      <c r="AJ29" s="155"/>
      <c r="AK29" s="155"/>
      <c r="AL29" s="155"/>
    </row>
    <row r="30" spans="1:42" ht="15" customHeight="1" x14ac:dyDescent="0.3">
      <c r="A30" s="163"/>
      <c r="B30" s="152" t="s">
        <v>16</v>
      </c>
      <c r="C30" s="28"/>
      <c r="D30" s="30">
        <v>-449</v>
      </c>
      <c r="E30" s="28"/>
      <c r="F30" s="28">
        <v>65</v>
      </c>
      <c r="G30" s="28"/>
      <c r="H30" s="28">
        <f>[4]BALANÇO!G19-[4]BALANÇO!F19</f>
        <v>-102164</v>
      </c>
      <c r="I30" s="28"/>
      <c r="J30" s="28">
        <v>15828</v>
      </c>
      <c r="K30" s="28"/>
      <c r="L30" s="152"/>
      <c r="M30" s="28">
        <v>-109257.18</v>
      </c>
      <c r="N30" s="152"/>
      <c r="O30" s="164"/>
      <c r="P30" s="154"/>
      <c r="Q30" s="32"/>
      <c r="R30" s="155"/>
      <c r="S30" s="155"/>
      <c r="T30" s="155"/>
      <c r="U30" s="155"/>
      <c r="V30" s="155"/>
      <c r="W30" s="155"/>
      <c r="X30" s="155"/>
      <c r="Y30" s="155"/>
      <c r="Z30" s="155"/>
      <c r="AA30" s="155"/>
      <c r="AB30" s="155"/>
      <c r="AC30" s="155"/>
      <c r="AD30" s="155"/>
      <c r="AE30" s="155"/>
      <c r="AF30" s="155"/>
      <c r="AG30" s="155"/>
      <c r="AH30" s="155"/>
      <c r="AI30" s="155"/>
      <c r="AJ30" s="155"/>
      <c r="AK30" s="155"/>
      <c r="AL30" s="155"/>
    </row>
    <row r="31" spans="1:42" ht="15" customHeight="1" x14ac:dyDescent="0.3">
      <c r="A31" s="163"/>
      <c r="B31" s="152" t="s">
        <v>163</v>
      </c>
      <c r="C31" s="28"/>
      <c r="D31" s="30">
        <v>-2593</v>
      </c>
      <c r="E31" s="28"/>
      <c r="F31" s="28">
        <v>-780</v>
      </c>
      <c r="G31" s="28"/>
      <c r="H31" s="28">
        <f>[4]BALANÇO!G20-[4]BALANÇO!F20</f>
        <v>515319</v>
      </c>
      <c r="I31" s="28"/>
      <c r="J31" s="28">
        <v>-770923</v>
      </c>
      <c r="K31" s="28"/>
      <c r="L31" s="152"/>
      <c r="M31" s="28">
        <v>594297.9</v>
      </c>
      <c r="N31" s="160"/>
      <c r="O31" s="28"/>
      <c r="P31" s="154"/>
      <c r="Q31" s="32"/>
      <c r="R31" s="155"/>
      <c r="S31" s="155"/>
      <c r="T31" s="155"/>
      <c r="U31" s="155"/>
      <c r="V31" s="155"/>
      <c r="W31" s="155"/>
      <c r="X31" s="155"/>
      <c r="Y31" s="155"/>
      <c r="Z31" s="155"/>
      <c r="AA31" s="155"/>
      <c r="AB31" s="155"/>
      <c r="AC31" s="155"/>
      <c r="AD31" s="155"/>
      <c r="AE31" s="155"/>
      <c r="AF31" s="155"/>
      <c r="AG31" s="155"/>
      <c r="AH31" s="155"/>
      <c r="AI31" s="155"/>
      <c r="AJ31" s="155"/>
      <c r="AK31" s="155"/>
      <c r="AL31" s="155"/>
    </row>
    <row r="32" spans="1:42" ht="15" customHeight="1" x14ac:dyDescent="0.3">
      <c r="A32" s="163"/>
      <c r="B32" s="152" t="s">
        <v>164</v>
      </c>
      <c r="C32" s="28"/>
      <c r="D32" s="30">
        <v>-220</v>
      </c>
      <c r="E32" s="28"/>
      <c r="F32" s="28">
        <v>38317</v>
      </c>
      <c r="G32" s="28"/>
      <c r="H32" s="28">
        <f>([4]BALANÇO!G21-[4]BALANÇO!F21)+([4]BALANÇO!G35-[4]BALANÇO!F35)</f>
        <v>-244578</v>
      </c>
      <c r="I32" s="28"/>
      <c r="J32" s="28">
        <f>-52676+13543</f>
        <v>-39133</v>
      </c>
      <c r="K32" s="28"/>
      <c r="L32" s="152"/>
      <c r="M32" s="28">
        <v>7686845.3200000003</v>
      </c>
      <c r="N32" s="152"/>
      <c r="O32" s="165"/>
      <c r="P32" s="154"/>
      <c r="Q32" s="32"/>
      <c r="R32" s="155"/>
      <c r="S32" s="155"/>
      <c r="T32" s="155"/>
      <c r="U32" s="155"/>
      <c r="V32" s="155"/>
      <c r="W32" s="155"/>
      <c r="X32" s="155"/>
      <c r="Y32" s="155"/>
      <c r="Z32" s="155"/>
      <c r="AA32" s="155"/>
      <c r="AB32" s="155"/>
      <c r="AC32" s="155"/>
      <c r="AD32" s="155"/>
      <c r="AE32" s="155"/>
      <c r="AF32" s="155"/>
      <c r="AG32" s="155"/>
      <c r="AH32" s="155"/>
      <c r="AI32" s="155"/>
      <c r="AJ32" s="155"/>
      <c r="AK32" s="155"/>
      <c r="AL32" s="155"/>
    </row>
    <row r="33" spans="1:38" ht="15" customHeight="1" x14ac:dyDescent="0.3">
      <c r="A33" s="163"/>
      <c r="B33" s="152" t="s">
        <v>10</v>
      </c>
      <c r="C33" s="28"/>
      <c r="D33" s="30">
        <v>13284</v>
      </c>
      <c r="E33" s="28"/>
      <c r="F33" s="28">
        <v>-5413</v>
      </c>
      <c r="G33" s="28"/>
      <c r="H33" s="28">
        <f>([4]BALANÇO!G16-[4]BALANÇO!F16)+([4]BALANÇO!G34-[4]BALANÇO!F34)</f>
        <v>9391903</v>
      </c>
      <c r="I33" s="28"/>
      <c r="J33" s="28">
        <v>23370788</v>
      </c>
      <c r="K33" s="28"/>
      <c r="L33" s="152"/>
      <c r="M33" s="28">
        <v>0</v>
      </c>
      <c r="N33" s="152"/>
      <c r="O33" s="158"/>
      <c r="P33" s="154"/>
      <c r="Q33" s="32"/>
      <c r="R33" s="155"/>
      <c r="S33" s="155"/>
      <c r="T33" s="155"/>
      <c r="U33" s="155"/>
      <c r="V33" s="155"/>
      <c r="W33" s="155"/>
      <c r="X33" s="155"/>
      <c r="Y33" s="155"/>
      <c r="Z33" s="155"/>
      <c r="AA33" s="155"/>
      <c r="AB33" s="155"/>
      <c r="AC33" s="155"/>
      <c r="AD33" s="155"/>
      <c r="AE33" s="155"/>
      <c r="AF33" s="155"/>
      <c r="AG33" s="155"/>
      <c r="AH33" s="159"/>
      <c r="AI33" s="155"/>
      <c r="AJ33" s="155"/>
      <c r="AK33" s="155"/>
      <c r="AL33" s="155"/>
    </row>
    <row r="34" spans="1:38" ht="15" customHeight="1" x14ac:dyDescent="0.3">
      <c r="A34" s="152"/>
      <c r="B34" s="152" t="s">
        <v>165</v>
      </c>
      <c r="C34" s="28"/>
      <c r="D34" s="30">
        <v>35</v>
      </c>
      <c r="E34" s="28"/>
      <c r="F34" s="28">
        <v>-1</v>
      </c>
      <c r="G34" s="28"/>
      <c r="H34" s="28">
        <f>[4]BALANÇO!G22-[4]BALANÇO!F22</f>
        <v>504532</v>
      </c>
      <c r="I34" s="28"/>
      <c r="J34" s="28">
        <v>-509456</v>
      </c>
      <c r="K34" s="28"/>
      <c r="L34" s="152"/>
      <c r="M34" s="28">
        <v>-25921.33</v>
      </c>
      <c r="N34" s="152"/>
      <c r="O34" s="152"/>
      <c r="P34" s="154"/>
      <c r="Q34" s="32"/>
      <c r="R34" s="155"/>
      <c r="S34" s="155"/>
      <c r="T34" s="155"/>
      <c r="U34" s="155"/>
      <c r="V34" s="155"/>
      <c r="W34" s="155"/>
      <c r="X34" s="155"/>
      <c r="Y34" s="155"/>
      <c r="Z34" s="155"/>
      <c r="AA34" s="155"/>
      <c r="AB34" s="155"/>
      <c r="AC34" s="155"/>
      <c r="AD34" s="155"/>
      <c r="AE34" s="155"/>
      <c r="AF34" s="155"/>
      <c r="AG34" s="155"/>
      <c r="AH34" s="155"/>
      <c r="AI34" s="155"/>
      <c r="AJ34" s="155"/>
      <c r="AK34" s="155"/>
      <c r="AL34" s="155"/>
    </row>
    <row r="35" spans="1:38" ht="15" customHeight="1" x14ac:dyDescent="0.3">
      <c r="A35" s="152"/>
      <c r="B35" s="152" t="s">
        <v>166</v>
      </c>
      <c r="C35" s="28"/>
      <c r="D35" s="28">
        <v>-1390</v>
      </c>
      <c r="E35" s="28"/>
      <c r="F35" s="28">
        <v>254</v>
      </c>
      <c r="G35" s="28"/>
      <c r="H35" s="28">
        <f>[4]BALANÇO!G23-[4]BALANÇO!F23</f>
        <v>-33939</v>
      </c>
      <c r="I35" s="28"/>
      <c r="J35" s="28">
        <v>-4301</v>
      </c>
      <c r="K35" s="28"/>
      <c r="L35" s="152"/>
      <c r="M35" s="28">
        <v>20822.46</v>
      </c>
      <c r="N35" s="152"/>
      <c r="O35" s="158"/>
      <c r="P35" s="154">
        <f>'[4]MEMORIA DE CALCULO'!K22</f>
        <v>-4301</v>
      </c>
      <c r="Q35" s="32">
        <f>H35-P35</f>
        <v>-29638</v>
      </c>
      <c r="R35" s="155"/>
      <c r="S35" s="155"/>
      <c r="T35" s="155"/>
      <c r="U35" s="155"/>
      <c r="V35" s="155"/>
      <c r="W35" s="155"/>
      <c r="X35" s="155"/>
      <c r="Y35" s="155"/>
      <c r="Z35" s="155"/>
      <c r="AA35" s="155"/>
      <c r="AB35" s="155"/>
      <c r="AC35" s="155"/>
      <c r="AD35" s="155"/>
      <c r="AE35" s="155"/>
      <c r="AF35" s="155"/>
      <c r="AG35" s="155"/>
      <c r="AH35" s="155"/>
      <c r="AI35" s="166"/>
      <c r="AJ35" s="155"/>
      <c r="AK35" s="155"/>
      <c r="AL35" s="155"/>
    </row>
    <row r="36" spans="1:38" ht="15" customHeight="1" x14ac:dyDescent="0.3">
      <c r="A36" s="152"/>
      <c r="B36" s="152"/>
      <c r="C36" s="28"/>
      <c r="D36" s="28"/>
      <c r="E36" s="28"/>
      <c r="F36" s="28"/>
      <c r="G36" s="28"/>
      <c r="H36" s="28"/>
      <c r="I36" s="28"/>
      <c r="J36" s="28"/>
      <c r="K36" s="28"/>
      <c r="L36" s="152"/>
      <c r="M36" s="28"/>
      <c r="N36" s="152"/>
      <c r="O36" s="152"/>
      <c r="P36" s="154"/>
      <c r="Q36" s="32"/>
      <c r="R36" s="155"/>
      <c r="S36" s="155"/>
      <c r="T36" s="155"/>
      <c r="U36" s="155"/>
      <c r="V36" s="155"/>
      <c r="W36" s="155"/>
      <c r="X36" s="155"/>
      <c r="Y36" s="155"/>
      <c r="Z36" s="155"/>
      <c r="AA36" s="155"/>
      <c r="AB36" s="155"/>
      <c r="AC36" s="155"/>
      <c r="AD36" s="155"/>
      <c r="AE36" s="155"/>
      <c r="AF36" s="155"/>
      <c r="AG36" s="155"/>
      <c r="AH36" s="155"/>
      <c r="AI36" s="166"/>
      <c r="AJ36" s="155"/>
      <c r="AK36" s="155"/>
      <c r="AL36" s="155"/>
    </row>
    <row r="37" spans="1:38" ht="15" customHeight="1" x14ac:dyDescent="0.35">
      <c r="A37" s="152" t="s">
        <v>167</v>
      </c>
      <c r="B37" s="152"/>
      <c r="C37" s="29"/>
      <c r="D37" s="29">
        <v>-10916</v>
      </c>
      <c r="E37" s="29"/>
      <c r="F37" s="29">
        <v>-89474</v>
      </c>
      <c r="G37" s="29"/>
      <c r="H37" s="29">
        <f>SUM(H38:H45)</f>
        <v>7630722</v>
      </c>
      <c r="I37" s="29"/>
      <c r="J37" s="29">
        <f>SUM(J38:J45)</f>
        <v>4730134</v>
      </c>
      <c r="K37" s="29"/>
      <c r="L37" s="152"/>
      <c r="M37" s="29">
        <f>SUM(M38:M45)</f>
        <v>-6090008.5800000215</v>
      </c>
      <c r="N37" s="28"/>
      <c r="O37" s="28"/>
      <c r="P37" s="154"/>
      <c r="Q37" s="32"/>
      <c r="R37" s="157"/>
      <c r="S37" s="167"/>
      <c r="T37" s="155"/>
      <c r="U37" s="155"/>
      <c r="V37" s="155"/>
      <c r="W37" s="155"/>
      <c r="X37" s="155"/>
      <c r="Y37" s="155"/>
      <c r="Z37" s="155"/>
      <c r="AA37" s="155"/>
      <c r="AB37" s="155"/>
      <c r="AC37" s="155"/>
      <c r="AD37" s="155"/>
      <c r="AE37" s="155"/>
      <c r="AF37" s="155"/>
      <c r="AG37" s="155"/>
      <c r="AH37" s="155"/>
      <c r="AI37" s="155"/>
      <c r="AJ37" s="155"/>
      <c r="AK37" s="155"/>
      <c r="AL37" s="155"/>
    </row>
    <row r="38" spans="1:38" ht="15" customHeight="1" x14ac:dyDescent="0.3">
      <c r="A38" s="152"/>
      <c r="B38" s="152" t="s">
        <v>9</v>
      </c>
      <c r="C38" s="28"/>
      <c r="D38" s="28">
        <v>41410</v>
      </c>
      <c r="E38" s="28"/>
      <c r="F38" s="28">
        <v>-37671</v>
      </c>
      <c r="G38" s="28"/>
      <c r="H38" s="28">
        <f>-([4]BALANÇO!R15-[4]BALANÇO!Q15)</f>
        <v>11409673</v>
      </c>
      <c r="I38" s="28"/>
      <c r="J38" s="28">
        <f>6616006-92796</f>
        <v>6523210</v>
      </c>
      <c r="K38" s="28"/>
      <c r="L38" s="152"/>
      <c r="M38" s="28">
        <v>-1409201.7600000277</v>
      </c>
      <c r="N38" s="152"/>
      <c r="O38" s="152"/>
      <c r="P38" s="154">
        <f>'[4]MEMORIA DE CALCULO'!K40</f>
        <v>6523210</v>
      </c>
      <c r="Q38" s="32">
        <f>H38-P38</f>
        <v>4886463</v>
      </c>
      <c r="R38" s="155"/>
      <c r="S38" s="155"/>
      <c r="T38" s="155"/>
      <c r="U38" s="155"/>
      <c r="V38" s="155"/>
      <c r="W38" s="155"/>
      <c r="X38" s="155"/>
      <c r="Y38" s="155"/>
      <c r="Z38" s="155"/>
      <c r="AA38" s="155"/>
      <c r="AB38" s="155"/>
      <c r="AC38" s="155"/>
      <c r="AD38" s="155"/>
      <c r="AE38" s="155"/>
      <c r="AF38" s="155"/>
      <c r="AG38" s="155"/>
      <c r="AH38" s="155"/>
      <c r="AI38" s="155"/>
      <c r="AJ38" s="155"/>
      <c r="AK38" s="155"/>
      <c r="AL38" s="155"/>
    </row>
    <row r="39" spans="1:38" ht="15" customHeight="1" x14ac:dyDescent="0.3">
      <c r="A39" s="152"/>
      <c r="B39" s="152" t="s">
        <v>168</v>
      </c>
      <c r="C39" s="28"/>
      <c r="D39" s="28">
        <v>7640</v>
      </c>
      <c r="E39" s="28"/>
      <c r="F39" s="28">
        <v>-324</v>
      </c>
      <c r="G39" s="28"/>
      <c r="H39" s="28">
        <f>-([4]BALANÇO!R17-[4]BALANÇO!Q17)</f>
        <v>818593</v>
      </c>
      <c r="I39" s="28"/>
      <c r="J39" s="28">
        <v>115975</v>
      </c>
      <c r="K39" s="28"/>
      <c r="L39" s="152"/>
      <c r="M39" s="28">
        <v>-2818131.95</v>
      </c>
      <c r="N39" s="152"/>
      <c r="O39" s="152"/>
      <c r="P39" s="154"/>
      <c r="Q39" s="32"/>
      <c r="R39" s="155"/>
      <c r="S39" s="155"/>
      <c r="T39" s="155"/>
      <c r="U39" s="157"/>
      <c r="V39" s="155"/>
      <c r="W39" s="155"/>
      <c r="X39" s="155"/>
      <c r="Y39" s="155"/>
      <c r="Z39" s="155"/>
      <c r="AA39" s="155"/>
      <c r="AB39" s="155"/>
      <c r="AC39" s="155"/>
      <c r="AD39" s="155"/>
      <c r="AE39" s="155"/>
      <c r="AF39" s="155"/>
      <c r="AG39" s="155"/>
      <c r="AH39" s="155"/>
      <c r="AI39" s="155"/>
      <c r="AJ39" s="155"/>
      <c r="AK39" s="155"/>
      <c r="AL39" s="155"/>
    </row>
    <row r="40" spans="1:38" ht="14.25" customHeight="1" x14ac:dyDescent="0.3">
      <c r="A40" s="163"/>
      <c r="B40" s="152" t="s">
        <v>169</v>
      </c>
      <c r="C40" s="28"/>
      <c r="D40" s="28">
        <v>-9784</v>
      </c>
      <c r="E40" s="28"/>
      <c r="F40" s="28">
        <v>-8551</v>
      </c>
      <c r="G40" s="28"/>
      <c r="H40" s="28">
        <f>-([4]BALANÇO!R19-[4]DRE!J46-[4]DRE!J49-[4]BALANÇO!Q19)</f>
        <v>-8121404</v>
      </c>
      <c r="I40" s="28"/>
      <c r="J40" s="28">
        <v>-5495299</v>
      </c>
      <c r="K40" s="28"/>
      <c r="L40" s="152"/>
      <c r="M40" s="28">
        <v>-7969020.3700000001</v>
      </c>
      <c r="N40" s="160"/>
      <c r="O40" s="158"/>
      <c r="P40" s="154"/>
      <c r="Q40" s="32"/>
      <c r="R40" s="157"/>
      <c r="S40" s="155"/>
      <c r="T40" s="157"/>
      <c r="U40" s="157"/>
      <c r="V40" s="155"/>
      <c r="W40" s="155"/>
      <c r="X40" s="155"/>
      <c r="Y40" s="155"/>
      <c r="Z40" s="155"/>
      <c r="AA40" s="155"/>
      <c r="AB40" s="155"/>
      <c r="AC40" s="155"/>
      <c r="AD40" s="155"/>
      <c r="AE40" s="155"/>
      <c r="AF40" s="155"/>
      <c r="AG40" s="155"/>
      <c r="AH40" s="155"/>
      <c r="AI40" s="155"/>
      <c r="AJ40" s="155"/>
      <c r="AK40" s="155"/>
      <c r="AL40" s="155"/>
    </row>
    <row r="41" spans="1:38" ht="15" customHeight="1" x14ac:dyDescent="0.3">
      <c r="A41" s="163"/>
      <c r="B41" s="152" t="s">
        <v>24</v>
      </c>
      <c r="C41" s="28"/>
      <c r="D41" s="28">
        <v>3812</v>
      </c>
      <c r="E41" s="28"/>
      <c r="F41" s="28">
        <v>-1546</v>
      </c>
      <c r="G41" s="28"/>
      <c r="H41" s="28">
        <f>-([4]BALANÇO!R21-[4]BALANÇO!Q21)</f>
        <v>91670</v>
      </c>
      <c r="I41" s="28"/>
      <c r="J41" s="28">
        <v>274357</v>
      </c>
      <c r="K41" s="28"/>
      <c r="L41" s="152"/>
      <c r="M41" s="28">
        <v>565424.98</v>
      </c>
      <c r="N41" s="152"/>
      <c r="O41" s="158"/>
      <c r="P41" s="154"/>
      <c r="Q41" s="32"/>
      <c r="R41" s="157"/>
      <c r="S41" s="155"/>
      <c r="T41" s="28"/>
      <c r="U41" s="155"/>
      <c r="V41" s="155"/>
      <c r="W41" s="155"/>
      <c r="X41" s="155"/>
      <c r="Y41" s="155"/>
      <c r="Z41" s="155"/>
      <c r="AA41" s="155"/>
      <c r="AB41" s="155"/>
      <c r="AC41" s="155"/>
      <c r="AD41" s="155"/>
      <c r="AE41" s="155"/>
      <c r="AF41" s="155"/>
      <c r="AG41" s="155"/>
      <c r="AH41" s="155"/>
      <c r="AI41" s="155"/>
      <c r="AJ41" s="155"/>
      <c r="AK41" s="155"/>
      <c r="AL41" s="155"/>
    </row>
    <row r="42" spans="1:38" ht="15" customHeight="1" x14ac:dyDescent="0.3">
      <c r="A42" s="163"/>
      <c r="B42" s="152" t="s">
        <v>170</v>
      </c>
      <c r="C42" s="28"/>
      <c r="D42" s="28">
        <v>-17899</v>
      </c>
      <c r="E42" s="28"/>
      <c r="F42" s="28">
        <v>-41126</v>
      </c>
      <c r="G42" s="28"/>
      <c r="H42" s="28">
        <f>-(([4]BALANÇO!R22-[4]BALANÇO!Q22)+([4]BALANÇO!R32-[4]BALANÇO!Q32))</f>
        <v>510345</v>
      </c>
      <c r="I42" s="28"/>
      <c r="J42" s="28">
        <f>803035-14316</f>
        <v>788719</v>
      </c>
      <c r="K42" s="28"/>
      <c r="L42" s="152"/>
      <c r="M42" s="28">
        <v>2421807.21</v>
      </c>
      <c r="N42" s="152"/>
      <c r="O42" s="152"/>
      <c r="P42" s="154"/>
      <c r="Q42" s="32"/>
      <c r="R42" s="157"/>
      <c r="S42" s="155"/>
      <c r="T42" s="167"/>
      <c r="U42" s="167"/>
      <c r="V42" s="155"/>
      <c r="W42" s="155"/>
      <c r="X42" s="155"/>
      <c r="Y42" s="155"/>
      <c r="Z42" s="155"/>
      <c r="AA42" s="155"/>
      <c r="AB42" s="155"/>
      <c r="AC42" s="155"/>
      <c r="AD42" s="155"/>
      <c r="AE42" s="155"/>
      <c r="AF42" s="155"/>
      <c r="AG42" s="155"/>
      <c r="AH42" s="155"/>
      <c r="AI42" s="155"/>
      <c r="AJ42" s="155"/>
      <c r="AK42" s="155"/>
      <c r="AL42" s="155"/>
    </row>
    <row r="43" spans="1:38" ht="15" customHeight="1" x14ac:dyDescent="0.3">
      <c r="A43" s="152"/>
      <c r="B43" s="152" t="s">
        <v>171</v>
      </c>
      <c r="C43" s="28"/>
      <c r="D43" s="28">
        <v>-36060</v>
      </c>
      <c r="E43" s="28"/>
      <c r="F43" s="28">
        <v>911</v>
      </c>
      <c r="G43" s="28"/>
      <c r="H43" s="28">
        <f>-([4]BALANÇO!R30-[4]BALANÇO!Q30)</f>
        <v>2791171</v>
      </c>
      <c r="I43" s="28"/>
      <c r="J43" s="28">
        <f>2414429+92797</f>
        <v>2507226</v>
      </c>
      <c r="K43" s="28"/>
      <c r="L43" s="152"/>
      <c r="M43" s="28">
        <v>3213956.6000000052</v>
      </c>
      <c r="N43" s="158"/>
      <c r="O43" s="158"/>
      <c r="P43" s="154"/>
      <c r="Q43" s="32"/>
      <c r="R43" s="157"/>
      <c r="S43" s="159"/>
      <c r="T43" s="155"/>
      <c r="U43" s="155"/>
      <c r="V43" s="155"/>
      <c r="W43" s="155"/>
      <c r="X43" s="155"/>
      <c r="Y43" s="155"/>
      <c r="Z43" s="155"/>
      <c r="AA43" s="155"/>
      <c r="AB43" s="155"/>
      <c r="AC43" s="155"/>
      <c r="AD43" s="155"/>
      <c r="AE43" s="155"/>
      <c r="AF43" s="155"/>
      <c r="AG43" s="155"/>
      <c r="AH43" s="155"/>
      <c r="AI43" s="155"/>
      <c r="AJ43" s="155"/>
      <c r="AK43" s="155"/>
      <c r="AL43" s="155"/>
    </row>
    <row r="44" spans="1:38" ht="15" customHeight="1" x14ac:dyDescent="0.3">
      <c r="A44" s="152"/>
      <c r="B44" s="152" t="s">
        <v>172</v>
      </c>
      <c r="C44" s="28"/>
      <c r="D44" s="28">
        <v>-35</v>
      </c>
      <c r="E44" s="28"/>
      <c r="F44" s="28">
        <v>-1167</v>
      </c>
      <c r="G44" s="28"/>
      <c r="H44" s="28">
        <f>-(([4]BALANÇO!R23-[4]BALANÇO!Q23))</f>
        <v>130674</v>
      </c>
      <c r="I44" s="28"/>
      <c r="J44" s="28">
        <f>1631+14315</f>
        <v>15946</v>
      </c>
      <c r="K44" s="28"/>
      <c r="L44" s="152"/>
      <c r="M44" s="28">
        <v>-94843.29</v>
      </c>
      <c r="N44" s="158"/>
      <c r="O44" s="152"/>
      <c r="P44" s="154"/>
      <c r="Q44" s="32"/>
      <c r="R44" s="157"/>
      <c r="S44" s="155"/>
      <c r="T44" s="155"/>
      <c r="U44" s="155"/>
      <c r="V44" s="155"/>
      <c r="W44" s="155"/>
      <c r="X44" s="155"/>
      <c r="Y44" s="155"/>
      <c r="Z44" s="155"/>
      <c r="AA44" s="155"/>
      <c r="AB44" s="155"/>
      <c r="AC44" s="155"/>
      <c r="AD44" s="155"/>
      <c r="AE44" s="155"/>
      <c r="AF44" s="155"/>
      <c r="AG44" s="155"/>
      <c r="AH44" s="155"/>
      <c r="AI44" s="155"/>
      <c r="AJ44" s="155"/>
      <c r="AK44" s="155"/>
      <c r="AL44" s="155"/>
    </row>
    <row r="45" spans="1:38" ht="15" customHeight="1" x14ac:dyDescent="0.3">
      <c r="A45" s="152"/>
      <c r="B45" s="152"/>
      <c r="C45" s="28"/>
      <c r="D45" s="28"/>
      <c r="E45" s="28"/>
      <c r="F45" s="28"/>
      <c r="G45" s="28"/>
      <c r="H45" s="28"/>
      <c r="I45" s="28"/>
      <c r="J45" s="28"/>
      <c r="K45" s="28"/>
      <c r="L45" s="152"/>
      <c r="M45" s="28"/>
      <c r="N45" s="158"/>
      <c r="O45" s="152"/>
      <c r="P45" s="154"/>
      <c r="Q45" s="32"/>
      <c r="R45" s="157"/>
      <c r="S45" s="155"/>
      <c r="T45" s="155"/>
      <c r="U45" s="155"/>
      <c r="V45" s="155"/>
      <c r="W45" s="155"/>
      <c r="X45" s="155"/>
      <c r="Y45" s="155"/>
      <c r="Z45" s="155"/>
      <c r="AA45" s="155"/>
      <c r="AB45" s="155"/>
      <c r="AC45" s="155"/>
      <c r="AD45" s="155"/>
      <c r="AE45" s="155"/>
      <c r="AF45" s="155"/>
      <c r="AG45" s="155"/>
      <c r="AH45" s="159"/>
      <c r="AI45" s="155"/>
      <c r="AJ45" s="155"/>
      <c r="AK45" s="155"/>
      <c r="AL45" s="155"/>
    </row>
    <row r="46" spans="1:38" ht="15" customHeight="1" x14ac:dyDescent="0.3">
      <c r="A46" s="163" t="s">
        <v>173</v>
      </c>
      <c r="B46" s="163"/>
      <c r="C46" s="28"/>
      <c r="D46" s="116">
        <v>137344</v>
      </c>
      <c r="E46" s="28"/>
      <c r="F46" s="116">
        <v>78222.738710000005</v>
      </c>
      <c r="G46" s="28"/>
      <c r="H46" s="116">
        <f>SUM(H26,H28,H37)</f>
        <v>63029686</v>
      </c>
      <c r="I46" s="28"/>
      <c r="J46" s="116">
        <f>SUM(J26,J28,J37)</f>
        <v>70510458</v>
      </c>
      <c r="K46" s="116"/>
      <c r="L46" s="152"/>
      <c r="M46" s="28">
        <f>SUM(M26,M28,M37)</f>
        <v>33519310.069999963</v>
      </c>
      <c r="N46" s="75"/>
      <c r="O46" s="75"/>
      <c r="P46" s="154"/>
      <c r="Q46" s="32"/>
      <c r="R46" s="155"/>
      <c r="S46" s="155"/>
      <c r="T46" s="155"/>
      <c r="U46" s="155"/>
      <c r="V46" s="155"/>
      <c r="W46" s="155"/>
      <c r="X46" s="155"/>
      <c r="Y46" s="155"/>
      <c r="Z46" s="155"/>
      <c r="AA46" s="155"/>
      <c r="AB46" s="155"/>
      <c r="AC46" s="155"/>
      <c r="AD46" s="155"/>
      <c r="AE46" s="155"/>
      <c r="AF46" s="155"/>
      <c r="AG46" s="155"/>
      <c r="AH46" s="155"/>
      <c r="AI46" s="155"/>
      <c r="AJ46" s="155"/>
      <c r="AK46" s="155"/>
      <c r="AL46" s="155"/>
    </row>
    <row r="47" spans="1:38" ht="15" customHeight="1" x14ac:dyDescent="0.3">
      <c r="A47" s="163"/>
      <c r="B47" s="152"/>
      <c r="C47" s="28"/>
      <c r="D47" s="28"/>
      <c r="E47" s="28"/>
      <c r="F47" s="28"/>
      <c r="G47" s="28"/>
      <c r="H47" s="28"/>
      <c r="I47" s="28"/>
      <c r="J47" s="28"/>
      <c r="K47" s="28"/>
      <c r="L47" s="152"/>
      <c r="M47" s="28"/>
      <c r="N47" s="152"/>
      <c r="O47" s="152"/>
      <c r="P47" s="154"/>
      <c r="Q47" s="32"/>
      <c r="R47" s="155"/>
      <c r="S47" s="155"/>
      <c r="T47" s="155"/>
      <c r="U47" s="155"/>
      <c r="V47" s="155"/>
      <c r="W47" s="155"/>
      <c r="X47" s="155"/>
      <c r="Y47" s="155"/>
      <c r="Z47" s="155"/>
      <c r="AA47" s="155"/>
      <c r="AB47" s="155"/>
      <c r="AC47" s="155"/>
      <c r="AD47" s="155"/>
      <c r="AE47" s="155"/>
      <c r="AF47" s="155"/>
      <c r="AG47" s="155"/>
      <c r="AH47" s="155"/>
      <c r="AI47" s="155"/>
      <c r="AJ47" s="155"/>
      <c r="AK47" s="155"/>
      <c r="AL47" s="155"/>
    </row>
    <row r="48" spans="1:38" ht="15" customHeight="1" x14ac:dyDescent="0.35">
      <c r="A48" s="163" t="s">
        <v>174</v>
      </c>
      <c r="B48" s="152"/>
      <c r="C48" s="29"/>
      <c r="D48" s="29"/>
      <c r="E48" s="29"/>
      <c r="F48" s="29"/>
      <c r="G48" s="29"/>
      <c r="H48" s="29"/>
      <c r="I48" s="29"/>
      <c r="J48" s="29"/>
      <c r="K48" s="29"/>
      <c r="L48" s="152"/>
      <c r="M48" s="29"/>
      <c r="N48" s="152"/>
      <c r="O48" s="152"/>
      <c r="P48" s="154"/>
      <c r="Q48" s="32"/>
      <c r="R48" s="155"/>
      <c r="S48" s="155"/>
      <c r="T48" s="155"/>
      <c r="U48" s="155"/>
      <c r="V48" s="155"/>
      <c r="W48" s="155"/>
      <c r="X48" s="155"/>
      <c r="Y48" s="155"/>
      <c r="Z48" s="155"/>
      <c r="AA48" s="155"/>
      <c r="AB48" s="155"/>
      <c r="AC48" s="155"/>
      <c r="AD48" s="155"/>
      <c r="AE48" s="155"/>
      <c r="AF48" s="155"/>
      <c r="AG48" s="155"/>
      <c r="AH48" s="155"/>
      <c r="AI48" s="155"/>
      <c r="AJ48" s="155"/>
      <c r="AK48" s="155"/>
      <c r="AL48" s="155"/>
    </row>
    <row r="49" spans="1:38" ht="6.75" customHeight="1" x14ac:dyDescent="0.3">
      <c r="A49" s="152"/>
      <c r="B49" s="152"/>
      <c r="C49" s="28"/>
      <c r="D49" s="28"/>
      <c r="E49" s="28"/>
      <c r="F49" s="28"/>
      <c r="G49" s="28"/>
      <c r="H49" s="28"/>
      <c r="I49" s="28"/>
      <c r="J49" s="28"/>
      <c r="K49" s="28"/>
      <c r="L49" s="152"/>
      <c r="M49" s="28"/>
      <c r="N49" s="152"/>
      <c r="O49" s="152"/>
      <c r="P49" s="154"/>
      <c r="Q49" s="32"/>
      <c r="R49" s="155"/>
      <c r="S49" s="155"/>
      <c r="T49" s="155"/>
      <c r="U49" s="155"/>
      <c r="V49" s="155"/>
      <c r="W49" s="155"/>
      <c r="X49" s="155"/>
      <c r="Y49" s="155"/>
      <c r="Z49" s="155"/>
      <c r="AA49" s="155"/>
      <c r="AB49" s="155"/>
      <c r="AC49" s="155"/>
      <c r="AD49" s="155"/>
      <c r="AE49" s="155"/>
      <c r="AF49" s="155"/>
      <c r="AG49" s="155"/>
      <c r="AH49" s="155"/>
      <c r="AI49" s="155"/>
      <c r="AJ49" s="155"/>
      <c r="AK49" s="155"/>
      <c r="AL49" s="155"/>
    </row>
    <row r="50" spans="1:38" ht="15" customHeight="1" x14ac:dyDescent="0.3">
      <c r="A50" s="152"/>
      <c r="B50" s="152" t="s">
        <v>175</v>
      </c>
      <c r="C50" s="28"/>
      <c r="D50" s="28">
        <v>-31362</v>
      </c>
      <c r="E50" s="28"/>
      <c r="F50" s="28">
        <v>-24952</v>
      </c>
      <c r="G50" s="28"/>
      <c r="H50" s="28">
        <f>-33863368</f>
        <v>-33863368</v>
      </c>
      <c r="I50" s="28"/>
      <c r="J50" s="28">
        <f>-36670314-3</f>
        <v>-36670317</v>
      </c>
      <c r="K50" s="28"/>
      <c r="L50" s="152"/>
      <c r="M50" s="28">
        <v>-9328303.1500000004</v>
      </c>
      <c r="N50" s="160"/>
      <c r="O50" s="158"/>
      <c r="P50" s="154"/>
      <c r="Q50" s="32"/>
      <c r="R50" s="157"/>
      <c r="S50" s="155"/>
      <c r="T50" s="157"/>
      <c r="U50" s="157"/>
      <c r="V50" s="155"/>
      <c r="W50" s="155"/>
      <c r="X50" s="155"/>
      <c r="Y50" s="155"/>
      <c r="Z50" s="155"/>
      <c r="AA50" s="155"/>
      <c r="AB50" s="155"/>
      <c r="AC50" s="155"/>
      <c r="AD50" s="155"/>
      <c r="AE50" s="155"/>
      <c r="AF50" s="155"/>
      <c r="AG50" s="155"/>
      <c r="AH50" s="155"/>
      <c r="AI50" s="155"/>
      <c r="AJ50" s="155"/>
      <c r="AK50" s="155"/>
      <c r="AL50" s="155"/>
    </row>
    <row r="51" spans="1:38" ht="15" hidden="1" customHeight="1" x14ac:dyDescent="0.3">
      <c r="A51" s="152"/>
      <c r="B51" s="152" t="s">
        <v>176</v>
      </c>
      <c r="C51" s="28"/>
      <c r="D51" s="28"/>
      <c r="E51" s="28"/>
      <c r="F51" s="28"/>
      <c r="G51" s="28"/>
      <c r="H51" s="28">
        <v>0</v>
      </c>
      <c r="I51" s="28"/>
      <c r="J51" s="28">
        <v>0</v>
      </c>
      <c r="K51" s="28"/>
      <c r="L51" s="152"/>
      <c r="M51" s="28"/>
      <c r="N51" s="160"/>
      <c r="O51" s="158"/>
      <c r="P51" s="154"/>
      <c r="Q51" s="32"/>
      <c r="R51" s="157"/>
      <c r="S51" s="155"/>
      <c r="T51" s="157"/>
      <c r="U51" s="157"/>
      <c r="V51" s="155"/>
      <c r="W51" s="155"/>
      <c r="X51" s="155"/>
      <c r="Y51" s="155"/>
      <c r="Z51" s="155"/>
      <c r="AA51" s="155"/>
      <c r="AB51" s="155"/>
      <c r="AC51" s="155"/>
      <c r="AD51" s="155"/>
      <c r="AE51" s="155"/>
      <c r="AF51" s="155"/>
      <c r="AG51" s="155"/>
      <c r="AH51" s="155"/>
      <c r="AI51" s="155"/>
      <c r="AJ51" s="155"/>
      <c r="AK51" s="155"/>
      <c r="AL51" s="155"/>
    </row>
    <row r="52" spans="1:38" ht="15" hidden="1" x14ac:dyDescent="0.3">
      <c r="A52" s="152"/>
      <c r="B52" s="152" t="s">
        <v>177</v>
      </c>
      <c r="C52" s="28"/>
      <c r="D52" s="28"/>
      <c r="E52" s="28"/>
      <c r="F52" s="28"/>
      <c r="G52" s="28"/>
      <c r="H52" s="28">
        <v>0</v>
      </c>
      <c r="I52" s="28"/>
      <c r="J52" s="28">
        <v>0</v>
      </c>
      <c r="K52" s="28"/>
      <c r="L52" s="152"/>
      <c r="M52" s="28"/>
      <c r="N52" s="160"/>
      <c r="O52" s="158"/>
      <c r="P52" s="154"/>
      <c r="Q52" s="32"/>
      <c r="R52" s="157"/>
      <c r="S52" s="155"/>
      <c r="T52" s="157"/>
      <c r="U52" s="157"/>
      <c r="V52" s="155"/>
      <c r="W52" s="155"/>
      <c r="X52" s="155"/>
      <c r="Y52" s="155"/>
      <c r="Z52" s="155"/>
      <c r="AA52" s="155"/>
      <c r="AB52" s="155"/>
      <c r="AC52" s="155"/>
      <c r="AD52" s="155"/>
      <c r="AE52" s="155"/>
      <c r="AF52" s="155"/>
      <c r="AG52" s="155"/>
      <c r="AH52" s="155"/>
      <c r="AI52" s="155"/>
      <c r="AJ52" s="155"/>
      <c r="AK52" s="155"/>
      <c r="AL52" s="155"/>
    </row>
    <row r="53" spans="1:38" ht="14.25" customHeight="1" x14ac:dyDescent="0.3">
      <c r="A53" s="152"/>
      <c r="B53" s="152"/>
      <c r="C53" s="28"/>
      <c r="D53" s="116"/>
      <c r="E53" s="28"/>
      <c r="F53" s="116"/>
      <c r="G53" s="28"/>
      <c r="H53" s="116"/>
      <c r="I53" s="28"/>
      <c r="J53" s="116"/>
      <c r="K53" s="116"/>
      <c r="L53" s="152"/>
      <c r="M53" s="28"/>
      <c r="N53" s="152"/>
      <c r="O53" s="152"/>
      <c r="P53" s="154"/>
      <c r="Q53" s="32"/>
      <c r="R53" s="155"/>
      <c r="S53" s="155"/>
      <c r="T53" s="155"/>
      <c r="U53" s="155"/>
      <c r="V53" s="155"/>
      <c r="W53" s="155"/>
      <c r="X53" s="155"/>
      <c r="Y53" s="155"/>
      <c r="Z53" s="155"/>
      <c r="AA53" s="155"/>
      <c r="AB53" s="155"/>
      <c r="AC53" s="155"/>
      <c r="AD53" s="155"/>
      <c r="AE53" s="155"/>
      <c r="AF53" s="155"/>
      <c r="AG53" s="155"/>
      <c r="AH53" s="155"/>
      <c r="AI53" s="155"/>
      <c r="AJ53" s="155"/>
      <c r="AK53" s="155"/>
      <c r="AL53" s="155"/>
    </row>
    <row r="54" spans="1:38" ht="15" customHeight="1" x14ac:dyDescent="0.3">
      <c r="A54" s="163" t="s">
        <v>178</v>
      </c>
      <c r="B54" s="163"/>
      <c r="C54" s="28"/>
      <c r="D54" s="116">
        <v>-31362</v>
      </c>
      <c r="E54" s="28"/>
      <c r="F54" s="116">
        <v>-24952</v>
      </c>
      <c r="G54" s="28"/>
      <c r="H54" s="116">
        <f>SUM(H50:H52)</f>
        <v>-33863368</v>
      </c>
      <c r="I54" s="28"/>
      <c r="J54" s="116">
        <f>SUM(J50:J52)</f>
        <v>-36670317</v>
      </c>
      <c r="K54" s="28"/>
      <c r="L54" s="152"/>
      <c r="M54" s="28">
        <f>SUM(M50:M52)</f>
        <v>-9328303.1500000004</v>
      </c>
      <c r="N54" s="75"/>
      <c r="O54" s="75"/>
      <c r="P54" s="154"/>
      <c r="Q54" s="32"/>
      <c r="R54" s="155"/>
      <c r="S54" s="155"/>
      <c r="T54" s="155"/>
      <c r="U54" s="155"/>
      <c r="V54" s="155"/>
      <c r="W54" s="155"/>
      <c r="X54" s="155"/>
      <c r="Y54" s="155"/>
      <c r="Z54" s="155"/>
      <c r="AA54" s="155"/>
      <c r="AB54" s="155"/>
      <c r="AC54" s="155"/>
      <c r="AD54" s="155"/>
      <c r="AE54" s="155"/>
      <c r="AF54" s="155"/>
      <c r="AG54" s="155"/>
      <c r="AH54" s="155"/>
      <c r="AI54" s="155"/>
      <c r="AJ54" s="155"/>
      <c r="AK54" s="155"/>
      <c r="AL54" s="155"/>
    </row>
    <row r="55" spans="1:38" ht="9.75" customHeight="1" x14ac:dyDescent="0.3">
      <c r="A55" s="163"/>
      <c r="B55" s="152"/>
      <c r="C55" s="28"/>
      <c r="D55" s="28"/>
      <c r="E55" s="28"/>
      <c r="F55" s="28"/>
      <c r="G55" s="28"/>
      <c r="H55" s="28"/>
      <c r="I55" s="28"/>
      <c r="J55" s="28"/>
      <c r="K55" s="28"/>
      <c r="L55" s="152"/>
      <c r="M55" s="28"/>
      <c r="N55" s="152"/>
      <c r="O55" s="152"/>
      <c r="P55" s="154"/>
      <c r="Q55" s="32"/>
      <c r="R55" s="155"/>
      <c r="S55" s="155"/>
      <c r="T55" s="155"/>
      <c r="U55" s="155"/>
      <c r="V55" s="155"/>
      <c r="W55" s="155"/>
      <c r="X55" s="155"/>
      <c r="Y55" s="155"/>
      <c r="Z55" s="155"/>
      <c r="AA55" s="155"/>
      <c r="AB55" s="155"/>
      <c r="AC55" s="155"/>
      <c r="AD55" s="155"/>
      <c r="AE55" s="155"/>
      <c r="AF55" s="155"/>
      <c r="AG55" s="155"/>
      <c r="AH55" s="155"/>
      <c r="AI55" s="155"/>
      <c r="AJ55" s="155"/>
      <c r="AK55" s="155"/>
      <c r="AL55" s="155"/>
    </row>
    <row r="56" spans="1:38" ht="15" customHeight="1" x14ac:dyDescent="0.3">
      <c r="A56" s="163" t="s">
        <v>179</v>
      </c>
      <c r="B56" s="152"/>
      <c r="C56" s="28"/>
      <c r="D56" s="28"/>
      <c r="E56" s="28"/>
      <c r="F56" s="28"/>
      <c r="G56" s="28"/>
      <c r="H56" s="28"/>
      <c r="I56" s="28"/>
      <c r="J56" s="28"/>
      <c r="K56" s="28"/>
      <c r="L56" s="152"/>
      <c r="M56" s="28"/>
      <c r="N56" s="28"/>
      <c r="O56" s="28"/>
      <c r="P56" s="154"/>
      <c r="Q56" s="32"/>
      <c r="R56" s="155"/>
      <c r="S56" s="155"/>
      <c r="T56" s="155"/>
      <c r="U56" s="155"/>
      <c r="V56" s="155"/>
      <c r="W56" s="155"/>
      <c r="X56" s="155"/>
      <c r="Y56" s="155"/>
      <c r="Z56" s="155"/>
      <c r="AA56" s="155"/>
      <c r="AB56" s="155"/>
      <c r="AC56" s="155"/>
      <c r="AD56" s="155"/>
      <c r="AE56" s="155"/>
      <c r="AF56" s="155"/>
      <c r="AG56" s="155"/>
      <c r="AH56" s="155"/>
      <c r="AI56" s="155"/>
      <c r="AJ56" s="155"/>
      <c r="AK56" s="155"/>
      <c r="AL56" s="155"/>
    </row>
    <row r="57" spans="1:38" ht="6.75" customHeight="1" x14ac:dyDescent="0.3">
      <c r="A57" s="152"/>
      <c r="B57" s="152"/>
      <c r="C57" s="28"/>
      <c r="D57" s="28"/>
      <c r="E57" s="28"/>
      <c r="F57" s="28"/>
      <c r="G57" s="28"/>
      <c r="H57" s="28"/>
      <c r="I57" s="28"/>
      <c r="J57" s="28"/>
      <c r="K57" s="28"/>
      <c r="L57" s="152"/>
      <c r="M57" s="28"/>
      <c r="N57" s="28"/>
      <c r="O57" s="28"/>
      <c r="P57" s="154"/>
      <c r="Q57" s="32"/>
      <c r="R57" s="155"/>
      <c r="S57" s="155"/>
      <c r="T57" s="155"/>
      <c r="U57" s="155"/>
      <c r="V57" s="155"/>
      <c r="W57" s="155"/>
      <c r="X57" s="155"/>
      <c r="Y57" s="155"/>
      <c r="Z57" s="155"/>
      <c r="AA57" s="155"/>
      <c r="AB57" s="155"/>
      <c r="AC57" s="155"/>
      <c r="AD57" s="155"/>
      <c r="AE57" s="155"/>
      <c r="AF57" s="155"/>
      <c r="AG57" s="155"/>
      <c r="AH57" s="155"/>
      <c r="AI57" s="155"/>
      <c r="AJ57" s="155"/>
      <c r="AK57" s="155"/>
      <c r="AL57" s="155"/>
    </row>
    <row r="58" spans="1:38" ht="15" customHeight="1" x14ac:dyDescent="0.3">
      <c r="A58" s="152"/>
      <c r="B58" s="152" t="s">
        <v>180</v>
      </c>
      <c r="C58" s="28"/>
      <c r="D58" s="28">
        <v>-83447</v>
      </c>
      <c r="E58" s="28"/>
      <c r="F58" s="28">
        <v>-36291</v>
      </c>
      <c r="G58" s="28"/>
      <c r="H58" s="28">
        <v>30441456</v>
      </c>
      <c r="I58" s="28"/>
      <c r="J58" s="28">
        <v>543827</v>
      </c>
      <c r="K58" s="28"/>
      <c r="L58" s="152"/>
      <c r="M58" s="28">
        <f>[1]DFC!$E$53</f>
        <v>554457.05000000144</v>
      </c>
      <c r="N58" s="160"/>
      <c r="O58" s="158"/>
      <c r="P58" s="154"/>
      <c r="Q58" s="32"/>
      <c r="R58" s="157"/>
      <c r="S58" s="155"/>
      <c r="T58" s="157"/>
      <c r="U58" s="157"/>
      <c r="V58" s="155"/>
      <c r="W58" s="155"/>
      <c r="X58" s="155"/>
      <c r="Y58" s="155"/>
      <c r="Z58" s="155"/>
      <c r="AA58" s="155"/>
      <c r="AB58" s="155"/>
      <c r="AC58" s="155"/>
      <c r="AD58" s="155"/>
      <c r="AE58" s="155"/>
      <c r="AF58" s="155"/>
      <c r="AG58" s="155"/>
      <c r="AH58" s="155"/>
      <c r="AI58" s="155"/>
      <c r="AJ58" s="155"/>
      <c r="AK58" s="155"/>
      <c r="AL58" s="155"/>
    </row>
    <row r="59" spans="1:38" ht="15" customHeight="1" x14ac:dyDescent="0.3">
      <c r="A59" s="152"/>
      <c r="B59" s="152" t="s">
        <v>181</v>
      </c>
      <c r="C59" s="28"/>
      <c r="D59" s="28">
        <v>-9205</v>
      </c>
      <c r="E59" s="28"/>
      <c r="F59" s="28">
        <v>-8609</v>
      </c>
      <c r="G59" s="28"/>
      <c r="H59" s="28">
        <v>-19893932</v>
      </c>
      <c r="I59" s="28"/>
      <c r="J59" s="28">
        <v>-21447217</v>
      </c>
      <c r="K59" s="28"/>
      <c r="L59" s="152"/>
      <c r="M59" s="28">
        <f>[1]DFC!$E$55</f>
        <v>-38813681.119999997</v>
      </c>
      <c r="N59" s="160"/>
      <c r="O59" s="158"/>
      <c r="P59" s="154"/>
      <c r="Q59" s="32"/>
      <c r="R59" s="157"/>
      <c r="S59" s="155"/>
      <c r="T59" s="157"/>
      <c r="U59" s="157"/>
      <c r="V59" s="155"/>
      <c r="W59" s="155"/>
      <c r="X59" s="155"/>
      <c r="Y59" s="155"/>
      <c r="Z59" s="155"/>
      <c r="AA59" s="155"/>
      <c r="AB59" s="155"/>
      <c r="AC59" s="155"/>
      <c r="AD59" s="155"/>
      <c r="AE59" s="155"/>
      <c r="AF59" s="155"/>
      <c r="AG59" s="155"/>
      <c r="AH59" s="155"/>
      <c r="AI59" s="155"/>
      <c r="AJ59" s="155"/>
      <c r="AK59" s="155"/>
      <c r="AL59" s="155"/>
    </row>
    <row r="60" spans="1:38" ht="15" customHeight="1" x14ac:dyDescent="0.3">
      <c r="A60" s="152"/>
      <c r="B60" s="152" t="s">
        <v>182</v>
      </c>
      <c r="C60" s="28"/>
      <c r="D60" s="28">
        <v>-26865</v>
      </c>
      <c r="E60" s="28"/>
      <c r="F60" s="28">
        <v>-937</v>
      </c>
      <c r="G60" s="28"/>
      <c r="H60" s="28">
        <v>-6740175</v>
      </c>
      <c r="I60" s="28"/>
      <c r="J60" s="28">
        <v>-5863538</v>
      </c>
      <c r="K60" s="28"/>
      <c r="L60" s="152"/>
      <c r="M60" s="28">
        <f>[1]DFC!$E$54</f>
        <v>-5026347.1300000008</v>
      </c>
      <c r="N60" s="160"/>
      <c r="O60" s="158"/>
      <c r="P60" s="154"/>
      <c r="Q60" s="32"/>
      <c r="R60" s="157"/>
      <c r="S60" s="155"/>
      <c r="T60" s="157"/>
      <c r="U60" s="157"/>
      <c r="V60" s="155"/>
      <c r="W60" s="155"/>
      <c r="X60" s="155"/>
      <c r="Y60" s="155"/>
      <c r="Z60" s="155"/>
      <c r="AA60" s="155"/>
      <c r="AB60" s="155"/>
      <c r="AC60" s="155"/>
      <c r="AD60" s="155"/>
      <c r="AE60" s="155"/>
      <c r="AF60" s="155"/>
      <c r="AG60" s="155"/>
      <c r="AH60" s="155"/>
      <c r="AI60" s="155"/>
      <c r="AJ60" s="155"/>
      <c r="AK60" s="155"/>
      <c r="AL60" s="155"/>
    </row>
    <row r="61" spans="1:38" ht="15" customHeight="1" x14ac:dyDescent="0.3">
      <c r="A61" s="152"/>
      <c r="B61" s="152" t="s">
        <v>183</v>
      </c>
      <c r="C61" s="28"/>
      <c r="D61" s="28">
        <v>0</v>
      </c>
      <c r="E61" s="28"/>
      <c r="F61" s="28">
        <v>-34112</v>
      </c>
      <c r="G61" s="28"/>
      <c r="H61" s="28">
        <v>-2545191</v>
      </c>
      <c r="I61" s="28"/>
      <c r="J61" s="28">
        <v>-2730211</v>
      </c>
      <c r="K61" s="28"/>
      <c r="L61" s="152"/>
      <c r="M61" s="28">
        <f>[1]DFC!$E$56</f>
        <v>-3213599.3500000015</v>
      </c>
      <c r="N61" s="160"/>
      <c r="O61" s="158"/>
      <c r="P61" s="154"/>
      <c r="Q61" s="32"/>
      <c r="R61" s="157"/>
      <c r="S61" s="155"/>
      <c r="T61" s="157"/>
      <c r="U61" s="157"/>
      <c r="V61" s="155"/>
      <c r="W61" s="155"/>
      <c r="X61" s="155"/>
      <c r="Y61" s="155"/>
      <c r="Z61" s="155"/>
      <c r="AA61" s="155"/>
      <c r="AB61" s="155"/>
      <c r="AC61" s="155"/>
      <c r="AD61" s="155"/>
      <c r="AE61" s="155"/>
      <c r="AF61" s="155"/>
      <c r="AG61" s="155"/>
      <c r="AH61" s="155"/>
      <c r="AI61" s="155"/>
      <c r="AJ61" s="155"/>
      <c r="AK61" s="155"/>
      <c r="AL61" s="155"/>
    </row>
    <row r="62" spans="1:38" ht="15" customHeight="1" x14ac:dyDescent="0.3">
      <c r="A62" s="152"/>
      <c r="B62" s="155"/>
      <c r="C62" s="32"/>
      <c r="D62" s="32"/>
      <c r="E62" s="32"/>
      <c r="G62" s="28"/>
      <c r="H62" s="28"/>
      <c r="I62" s="28"/>
      <c r="J62" s="28"/>
      <c r="K62" s="28"/>
      <c r="L62" s="152"/>
      <c r="M62" s="28"/>
      <c r="N62" s="152"/>
      <c r="O62" s="152"/>
      <c r="P62" s="154"/>
      <c r="Q62" s="32"/>
      <c r="R62" s="155"/>
      <c r="S62" s="155"/>
      <c r="T62" s="168"/>
      <c r="U62" s="155"/>
      <c r="V62" s="155"/>
      <c r="W62" s="155"/>
      <c r="X62" s="155"/>
      <c r="Y62" s="155"/>
      <c r="Z62" s="155"/>
      <c r="AA62" s="155"/>
      <c r="AB62" s="155"/>
      <c r="AC62" s="155"/>
      <c r="AD62" s="155"/>
      <c r="AE62" s="155"/>
      <c r="AF62" s="155"/>
      <c r="AG62" s="155"/>
      <c r="AH62" s="155"/>
      <c r="AI62" s="155"/>
      <c r="AJ62" s="155"/>
      <c r="AK62" s="155"/>
      <c r="AL62" s="155"/>
    </row>
    <row r="63" spans="1:38" ht="15" customHeight="1" x14ac:dyDescent="0.3">
      <c r="A63" s="163" t="s">
        <v>184</v>
      </c>
      <c r="B63" s="163"/>
      <c r="C63" s="28"/>
      <c r="D63" s="116">
        <v>-119517</v>
      </c>
      <c r="E63" s="28"/>
      <c r="F63" s="116">
        <v>-79949</v>
      </c>
      <c r="G63" s="28"/>
      <c r="H63" s="116">
        <f>SUM(H58:H61)</f>
        <v>1262158</v>
      </c>
      <c r="I63" s="28"/>
      <c r="J63" s="116">
        <f>SUM(J58:J61)</f>
        <v>-29497139</v>
      </c>
      <c r="K63" s="116"/>
      <c r="L63" s="152"/>
      <c r="M63" s="28">
        <f>SUM(M58:M61)</f>
        <v>-46499170.549999997</v>
      </c>
      <c r="N63" s="75"/>
      <c r="O63" s="75"/>
      <c r="P63" s="154"/>
      <c r="Q63" s="32"/>
      <c r="R63" s="155"/>
      <c r="S63" s="155"/>
      <c r="T63" s="157"/>
      <c r="U63" s="155"/>
      <c r="V63" s="155"/>
      <c r="W63" s="155"/>
      <c r="X63" s="155"/>
      <c r="Y63" s="155"/>
      <c r="Z63" s="155"/>
      <c r="AA63" s="155"/>
      <c r="AB63" s="155"/>
      <c r="AC63" s="155"/>
      <c r="AD63" s="155"/>
      <c r="AE63" s="155"/>
      <c r="AF63" s="155"/>
      <c r="AG63" s="155"/>
      <c r="AH63" s="155"/>
      <c r="AI63" s="169"/>
      <c r="AJ63" s="155"/>
      <c r="AK63" s="155"/>
      <c r="AL63" s="155"/>
    </row>
    <row r="64" spans="1:38" ht="15" customHeight="1" x14ac:dyDescent="0.3">
      <c r="A64" s="152"/>
      <c r="B64" s="152"/>
      <c r="C64" s="28"/>
      <c r="D64" s="116"/>
      <c r="E64" s="28"/>
      <c r="F64" s="116"/>
      <c r="G64" s="28"/>
      <c r="H64" s="116"/>
      <c r="I64" s="28"/>
      <c r="J64" s="116"/>
      <c r="K64" s="116"/>
      <c r="L64" s="152"/>
      <c r="M64" s="28"/>
      <c r="N64" s="152"/>
      <c r="O64" s="152"/>
      <c r="P64" s="154"/>
      <c r="Q64" s="32"/>
      <c r="R64" s="155"/>
      <c r="S64" s="155"/>
      <c r="T64" s="155"/>
      <c r="U64" s="155"/>
      <c r="V64" s="155"/>
      <c r="W64" s="155"/>
      <c r="X64" s="155"/>
      <c r="Y64" s="155"/>
      <c r="Z64" s="155"/>
      <c r="AA64" s="155"/>
      <c r="AB64" s="155"/>
      <c r="AC64" s="155"/>
      <c r="AD64" s="155"/>
      <c r="AE64" s="155"/>
      <c r="AF64" s="155"/>
      <c r="AG64" s="155"/>
      <c r="AH64" s="155"/>
      <c r="AI64" s="159"/>
      <c r="AJ64" s="155"/>
      <c r="AK64" s="155"/>
      <c r="AL64" s="155"/>
    </row>
    <row r="65" spans="1:38" ht="15" customHeight="1" x14ac:dyDescent="0.35">
      <c r="A65" s="163" t="s">
        <v>185</v>
      </c>
      <c r="B65" s="152"/>
      <c r="C65" s="29"/>
      <c r="D65" s="117">
        <v>-13535</v>
      </c>
      <c r="E65" s="29"/>
      <c r="F65" s="117">
        <v>-26678.261289999995</v>
      </c>
      <c r="G65" s="29"/>
      <c r="H65" s="117">
        <f>H46+H54+H63</f>
        <v>30428476</v>
      </c>
      <c r="I65" s="29"/>
      <c r="J65" s="117">
        <f>J46+J54+J63</f>
        <v>4343002</v>
      </c>
      <c r="K65" s="117"/>
      <c r="L65" s="152"/>
      <c r="M65" s="29">
        <f>M46+M54+M63</f>
        <v>-22308163.630000032</v>
      </c>
      <c r="N65" s="153"/>
      <c r="O65" s="153"/>
      <c r="P65" s="154"/>
      <c r="Q65" s="32"/>
      <c r="R65" s="155"/>
      <c r="S65" s="155"/>
      <c r="T65" s="155"/>
      <c r="U65" s="155"/>
      <c r="V65" s="155"/>
      <c r="W65" s="155"/>
      <c r="X65" s="155"/>
      <c r="Y65" s="155"/>
      <c r="Z65" s="155"/>
      <c r="AA65" s="155"/>
      <c r="AB65" s="155"/>
      <c r="AC65" s="155"/>
      <c r="AD65" s="155"/>
      <c r="AE65" s="155"/>
      <c r="AF65" s="155"/>
      <c r="AG65" s="155"/>
      <c r="AH65" s="155"/>
      <c r="AI65" s="155"/>
      <c r="AJ65" s="155"/>
      <c r="AK65" s="155"/>
      <c r="AL65" s="155"/>
    </row>
    <row r="66" spans="1:38" ht="7.5" customHeight="1" x14ac:dyDescent="0.3">
      <c r="A66" s="152"/>
      <c r="B66" s="152"/>
      <c r="C66" s="28"/>
      <c r="D66" s="28"/>
      <c r="E66" s="28"/>
      <c r="F66" s="28"/>
      <c r="G66" s="28"/>
      <c r="H66" s="28"/>
      <c r="I66" s="28"/>
      <c r="J66" s="28"/>
      <c r="K66" s="28"/>
      <c r="L66" s="152"/>
      <c r="M66" s="28"/>
      <c r="N66" s="152"/>
      <c r="O66" s="152"/>
      <c r="P66" s="154"/>
      <c r="Q66" s="32"/>
      <c r="R66" s="155"/>
      <c r="S66" s="155"/>
      <c r="T66" s="155"/>
      <c r="U66" s="155"/>
      <c r="V66" s="155"/>
      <c r="W66" s="155"/>
      <c r="X66" s="155"/>
      <c r="Y66" s="155"/>
      <c r="Z66" s="155"/>
      <c r="AA66" s="155"/>
      <c r="AB66" s="155"/>
      <c r="AC66" s="155"/>
      <c r="AD66" s="155"/>
      <c r="AE66" s="155"/>
      <c r="AF66" s="155"/>
      <c r="AG66" s="155"/>
      <c r="AH66" s="155"/>
      <c r="AI66" s="155"/>
      <c r="AJ66" s="155"/>
      <c r="AK66" s="155"/>
      <c r="AL66" s="155"/>
    </row>
    <row r="67" spans="1:38" s="3" customFormat="1" ht="15" customHeight="1" x14ac:dyDescent="0.3">
      <c r="A67" s="152"/>
      <c r="B67" s="170" t="s">
        <v>186</v>
      </c>
      <c r="C67" s="28"/>
      <c r="D67" s="28">
        <v>109862</v>
      </c>
      <c r="E67" s="28"/>
      <c r="F67" s="28">
        <v>136540</v>
      </c>
      <c r="G67" s="28"/>
      <c r="H67" s="28">
        <f>[4]BALANÇO!G15</f>
        <v>47332416</v>
      </c>
      <c r="I67" s="28"/>
      <c r="J67" s="28">
        <v>43024414</v>
      </c>
      <c r="K67" s="28"/>
      <c r="L67" s="152"/>
      <c r="M67" s="28">
        <v>100620068.20999998</v>
      </c>
      <c r="N67" s="152"/>
      <c r="O67" s="152"/>
      <c r="P67" s="154"/>
      <c r="Q67" s="32"/>
      <c r="R67" s="155"/>
      <c r="S67" s="155"/>
      <c r="T67" s="155"/>
      <c r="U67" s="155"/>
      <c r="V67" s="155"/>
      <c r="W67" s="155"/>
      <c r="X67" s="155"/>
      <c r="Y67" s="155"/>
      <c r="Z67" s="155"/>
      <c r="AA67" s="155"/>
      <c r="AB67" s="155"/>
      <c r="AC67" s="155"/>
      <c r="AD67" s="155"/>
      <c r="AE67" s="155"/>
      <c r="AF67" s="155"/>
      <c r="AG67" s="155"/>
      <c r="AH67" s="32"/>
      <c r="AI67" s="32"/>
      <c r="AJ67" s="32"/>
      <c r="AK67" s="32"/>
      <c r="AL67" s="32"/>
    </row>
    <row r="68" spans="1:38" s="3" customFormat="1" ht="15" customHeight="1" x14ac:dyDescent="0.3">
      <c r="A68" s="152"/>
      <c r="B68" s="170" t="s">
        <v>187</v>
      </c>
      <c r="C68" s="28"/>
      <c r="D68" s="110">
        <v>96327</v>
      </c>
      <c r="E68" s="28"/>
      <c r="F68" s="28">
        <v>109862</v>
      </c>
      <c r="G68" s="28"/>
      <c r="H68" s="28">
        <f>[4]BALANÇO!F15</f>
        <v>77690893</v>
      </c>
      <c r="I68" s="28"/>
      <c r="J68" s="28">
        <f>[4]BALANÇO!G15</f>
        <v>47332416</v>
      </c>
      <c r="K68" s="28"/>
      <c r="L68" s="152"/>
      <c r="M68" s="28">
        <f>M67+M65</f>
        <v>78311904.579999954</v>
      </c>
      <c r="N68" s="75"/>
      <c r="O68" s="75"/>
      <c r="P68" s="154"/>
      <c r="Q68" s="32"/>
      <c r="R68" s="155"/>
      <c r="S68" s="155"/>
      <c r="T68" s="155"/>
      <c r="U68" s="155"/>
      <c r="V68" s="155"/>
      <c r="W68" s="155"/>
      <c r="X68" s="155"/>
      <c r="Y68" s="155"/>
      <c r="Z68" s="155"/>
      <c r="AA68" s="155"/>
      <c r="AB68" s="155"/>
      <c r="AC68" s="155"/>
      <c r="AD68" s="155"/>
      <c r="AE68" s="155"/>
      <c r="AF68" s="155"/>
      <c r="AG68" s="155"/>
      <c r="AH68" s="32"/>
      <c r="AI68" s="32"/>
      <c r="AJ68" s="32"/>
      <c r="AK68" s="32"/>
      <c r="AL68" s="32"/>
    </row>
    <row r="69" spans="1:38" s="3" customFormat="1" ht="6" customHeight="1" x14ac:dyDescent="0.3">
      <c r="A69" s="152"/>
      <c r="B69" s="152"/>
      <c r="C69" s="28"/>
      <c r="D69" s="28"/>
      <c r="E69" s="28"/>
      <c r="F69" s="171"/>
      <c r="G69" s="28"/>
      <c r="H69" s="28"/>
      <c r="I69" s="28"/>
      <c r="J69" s="28"/>
      <c r="K69" s="28"/>
      <c r="L69" s="152"/>
      <c r="M69" s="28"/>
      <c r="N69" s="152"/>
      <c r="O69" s="152"/>
      <c r="P69" s="154"/>
      <c r="Q69" s="32"/>
      <c r="R69" s="155"/>
      <c r="S69" s="155"/>
      <c r="T69" s="155"/>
      <c r="U69" s="155"/>
      <c r="V69" s="155"/>
      <c r="W69" s="155"/>
      <c r="X69" s="155"/>
      <c r="Y69" s="155"/>
      <c r="Z69" s="155"/>
      <c r="AA69" s="155"/>
      <c r="AB69" s="155"/>
      <c r="AC69" s="155"/>
      <c r="AD69" s="155"/>
      <c r="AE69" s="155"/>
      <c r="AF69" s="155"/>
      <c r="AG69" s="155"/>
      <c r="AH69" s="32"/>
      <c r="AI69" s="32"/>
      <c r="AJ69" s="32"/>
      <c r="AK69" s="32"/>
      <c r="AL69" s="32"/>
    </row>
    <row r="70" spans="1:38" s="3" customFormat="1" ht="15" customHeight="1" x14ac:dyDescent="0.3">
      <c r="A70" s="202" t="s">
        <v>102</v>
      </c>
      <c r="B70" s="202"/>
      <c r="C70" s="202"/>
      <c r="D70" s="202"/>
      <c r="E70" s="202"/>
      <c r="F70" s="202"/>
      <c r="G70" s="202"/>
      <c r="H70" s="202"/>
      <c r="I70" s="202"/>
      <c r="J70" s="202"/>
      <c r="K70" s="202"/>
      <c r="L70" s="202"/>
      <c r="M70" s="202"/>
      <c r="N70" s="152"/>
      <c r="O70" s="152"/>
      <c r="P70" s="154"/>
      <c r="Q70" s="32"/>
      <c r="R70" s="155"/>
      <c r="S70" s="155"/>
      <c r="T70" s="155"/>
      <c r="U70" s="155"/>
      <c r="V70" s="155"/>
      <c r="W70" s="155"/>
      <c r="X70" s="155"/>
      <c r="Y70" s="155"/>
      <c r="Z70" s="155"/>
      <c r="AA70" s="155"/>
      <c r="AB70" s="155"/>
      <c r="AC70" s="155"/>
      <c r="AD70" s="155"/>
      <c r="AE70" s="155"/>
      <c r="AF70" s="155"/>
      <c r="AG70" s="155"/>
      <c r="AH70" s="32"/>
      <c r="AI70" s="32"/>
      <c r="AJ70" s="32"/>
      <c r="AK70" s="32"/>
      <c r="AL70" s="32"/>
    </row>
    <row r="71" spans="1:38" s="3" customFormat="1" ht="15" customHeight="1" x14ac:dyDescent="0.3">
      <c r="A71" s="118"/>
      <c r="B71" s="118"/>
      <c r="C71" s="118"/>
      <c r="D71" s="119"/>
      <c r="E71" s="118"/>
      <c r="F71" s="119"/>
      <c r="G71" s="118"/>
      <c r="H71" s="120"/>
      <c r="I71" s="118"/>
      <c r="J71" s="119"/>
      <c r="K71" s="118"/>
      <c r="L71" s="118"/>
      <c r="M71" s="118"/>
      <c r="N71" s="119"/>
      <c r="O71" s="119"/>
      <c r="P71" s="109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</row>
    <row r="72" spans="1:38" s="3" customFormat="1" ht="15" x14ac:dyDescent="0.3">
      <c r="A72" s="118"/>
      <c r="B72" s="118"/>
      <c r="C72" s="118"/>
      <c r="D72" s="121"/>
      <c r="E72" s="118"/>
      <c r="F72" s="122"/>
      <c r="G72" s="118"/>
      <c r="H72" s="121"/>
      <c r="I72" s="118"/>
      <c r="J72" s="121"/>
      <c r="K72" s="118"/>
      <c r="L72" s="118"/>
      <c r="M72" s="118"/>
      <c r="N72" s="17"/>
      <c r="O72" s="17"/>
      <c r="P72" s="109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</row>
    <row r="73" spans="1:38" s="3" customFormat="1" ht="15" customHeight="1" x14ac:dyDescent="0.3">
      <c r="A73" s="118"/>
      <c r="B73" s="118"/>
      <c r="C73" s="118"/>
      <c r="D73" s="118"/>
      <c r="E73" s="118"/>
      <c r="F73" s="118"/>
      <c r="G73" s="118"/>
      <c r="H73" s="118"/>
      <c r="I73" s="118"/>
      <c r="J73" s="118"/>
      <c r="K73" s="118"/>
      <c r="L73" s="118"/>
      <c r="M73" s="119"/>
      <c r="N73" s="17"/>
      <c r="O73" s="17"/>
      <c r="P73" s="109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</row>
    <row r="74" spans="1:38" s="3" customFormat="1" ht="15" customHeight="1" x14ac:dyDescent="0.3">
      <c r="A74" s="118"/>
      <c r="B74" s="118"/>
      <c r="C74" s="118"/>
      <c r="D74" s="118"/>
      <c r="E74" s="118"/>
      <c r="F74" s="118"/>
      <c r="G74" s="118"/>
      <c r="H74" s="118"/>
      <c r="I74" s="118"/>
      <c r="J74" s="118"/>
      <c r="K74" s="118"/>
      <c r="L74" s="118"/>
      <c r="M74" s="119"/>
      <c r="N74" s="17"/>
      <c r="O74" s="17"/>
      <c r="P74" s="109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</row>
    <row r="75" spans="1:38" s="3" customFormat="1" ht="15" customHeight="1" x14ac:dyDescent="0.4">
      <c r="A75" s="1"/>
      <c r="B75" s="2"/>
      <c r="F75" s="32"/>
      <c r="L75" s="2"/>
      <c r="N75" s="2"/>
      <c r="O75" s="2"/>
      <c r="P75" s="109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</row>
    <row r="76" spans="1:38" s="3" customFormat="1" ht="15" customHeight="1" x14ac:dyDescent="0.4">
      <c r="A76" s="1"/>
      <c r="B76" s="2"/>
      <c r="F76" s="32"/>
      <c r="L76" s="2"/>
      <c r="N76" s="2"/>
      <c r="O76" s="2"/>
      <c r="P76" s="109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</row>
    <row r="77" spans="1:38" s="3" customFormat="1" ht="15" customHeight="1" x14ac:dyDescent="0.4">
      <c r="A77" s="1"/>
      <c r="B77" s="2"/>
      <c r="F77" s="32"/>
      <c r="L77" s="2"/>
      <c r="N77" s="2"/>
      <c r="O77" s="2"/>
      <c r="P77" s="109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</row>
    <row r="78" spans="1:38" s="3" customFormat="1" ht="15" customHeight="1" x14ac:dyDescent="0.4">
      <c r="A78" s="1"/>
      <c r="B78" s="2"/>
      <c r="F78" s="32"/>
      <c r="L78" s="2"/>
      <c r="N78" s="2"/>
      <c r="O78" s="2"/>
      <c r="P78" s="109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</row>
    <row r="79" spans="1:38" s="3" customFormat="1" ht="15" customHeight="1" x14ac:dyDescent="0.4">
      <c r="A79" s="1"/>
      <c r="B79" s="2"/>
      <c r="F79" s="32"/>
      <c r="L79" s="2"/>
      <c r="N79" s="2"/>
      <c r="O79" s="2"/>
      <c r="P79" s="109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</row>
    <row r="80" spans="1:38" s="3" customFormat="1" ht="15" customHeight="1" x14ac:dyDescent="0.4">
      <c r="A80" s="1"/>
      <c r="B80" s="2"/>
      <c r="F80" s="32"/>
      <c r="L80" s="2"/>
      <c r="N80" s="2"/>
      <c r="O80" s="2"/>
      <c r="P80" s="109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</row>
    <row r="81" spans="1:33" s="3" customFormat="1" ht="15" customHeight="1" x14ac:dyDescent="0.4">
      <c r="A81" s="1"/>
      <c r="B81" s="2"/>
      <c r="F81" s="32"/>
      <c r="L81" s="2"/>
      <c r="M81" s="21">
        <v>9</v>
      </c>
      <c r="N81" s="2"/>
      <c r="O81" s="2"/>
      <c r="P81" s="109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</row>
    <row r="82" spans="1:33" s="3" customFormat="1" ht="15" customHeight="1" x14ac:dyDescent="0.4">
      <c r="A82" s="1"/>
      <c r="B82" s="2"/>
      <c r="F82" s="123">
        <v>4</v>
      </c>
      <c r="H82" s="3">
        <v>17</v>
      </c>
      <c r="J82" s="7">
        <v>14</v>
      </c>
      <c r="L82" s="2"/>
      <c r="N82" s="2"/>
      <c r="O82" s="2"/>
      <c r="P82" s="109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</row>
    <row r="83" spans="1:33" ht="15" customHeight="1" x14ac:dyDescent="0.4"/>
  </sheetData>
  <mergeCells count="8">
    <mergeCell ref="A70:M70"/>
    <mergeCell ref="A6:M6"/>
    <mergeCell ref="A8:M8"/>
    <mergeCell ref="D10:D11"/>
    <mergeCell ref="F10:F11"/>
    <mergeCell ref="H10:H11"/>
    <mergeCell ref="J11:J12"/>
    <mergeCell ref="M11:M12"/>
  </mergeCells>
  <printOptions horizontalCentered="1"/>
  <pageMargins left="0.39370078740157483" right="0.39370078740157483" top="0.39370078740157483" bottom="0.39370078740157483" header="0" footer="0.19685039370078741"/>
  <pageSetup paperSize="9" scale="65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9B3E67-622A-470A-A699-FE86AAA70636}">
  <sheetPr>
    <tabColor rgb="FF00B0F0"/>
  </sheetPr>
  <dimension ref="A5:Y195"/>
  <sheetViews>
    <sheetView showGridLines="0" zoomScaleNormal="85" zoomScaleSheetLayoutView="75" workbookViewId="0">
      <pane ySplit="13" topLeftCell="A178" activePane="bottomLeft" state="frozen"/>
      <selection activeCell="D63" sqref="D63"/>
      <selection pane="bottomLeft" activeCell="A6" sqref="A6:O195"/>
    </sheetView>
  </sheetViews>
  <sheetFormatPr defaultColWidth="10.5703125" defaultRowHeight="12.75" x14ac:dyDescent="0.25"/>
  <cols>
    <col min="1" max="1" width="6.7109375" style="87" customWidth="1"/>
    <col min="2" max="2" width="35.85546875" style="87" customWidth="1"/>
    <col min="3" max="3" width="18.140625" style="87" hidden="1" customWidth="1"/>
    <col min="4" max="4" width="13.7109375" style="87" customWidth="1"/>
    <col min="5" max="6" width="1.7109375" style="87" customWidth="1"/>
    <col min="7" max="7" width="12.28515625" style="87" bestFit="1" customWidth="1"/>
    <col min="8" max="8" width="13.85546875" style="87" customWidth="1"/>
    <col min="9" max="9" width="13.7109375" style="87" hidden="1" customWidth="1"/>
    <col min="10" max="10" width="1.7109375" style="87" customWidth="1"/>
    <col min="11" max="11" width="14.5703125" style="87" customWidth="1"/>
    <col min="12" max="12" width="1.7109375" style="87" customWidth="1"/>
    <col min="13" max="13" width="15.85546875" style="87" customWidth="1"/>
    <col min="14" max="14" width="1.7109375" style="87" customWidth="1"/>
    <col min="15" max="15" width="13.28515625" style="87" customWidth="1"/>
    <col min="16" max="16" width="17" style="87" bestFit="1" customWidth="1"/>
    <col min="17" max="16384" width="10.5703125" style="87"/>
  </cols>
  <sheetData>
    <row r="5" spans="1:22" ht="15" customHeight="1" x14ac:dyDescent="0.25">
      <c r="A5" s="195"/>
      <c r="B5" s="195"/>
      <c r="C5" s="195"/>
      <c r="D5" s="195"/>
      <c r="E5" s="195"/>
      <c r="F5" s="16"/>
      <c r="G5" s="16"/>
      <c r="H5" s="16"/>
      <c r="I5" s="16"/>
      <c r="J5" s="16"/>
      <c r="K5" s="16"/>
      <c r="L5" s="16"/>
      <c r="M5" s="16"/>
      <c r="N5" s="16"/>
      <c r="O5" s="16"/>
      <c r="R5" s="88"/>
      <c r="S5" s="89"/>
      <c r="T5" s="90"/>
    </row>
    <row r="6" spans="1:22" ht="15" customHeight="1" x14ac:dyDescent="0.25">
      <c r="A6" s="195" t="s">
        <v>0</v>
      </c>
      <c r="B6" s="195"/>
      <c r="C6" s="195"/>
      <c r="D6" s="195"/>
      <c r="E6" s="195"/>
      <c r="F6" s="16"/>
      <c r="G6" s="16"/>
      <c r="H6" s="16"/>
      <c r="I6" s="16"/>
      <c r="J6" s="16"/>
      <c r="K6" s="16"/>
      <c r="L6" s="16"/>
      <c r="M6" s="16"/>
      <c r="N6" s="16"/>
      <c r="O6" s="16"/>
      <c r="R6" s="88"/>
      <c r="S6" s="88"/>
      <c r="T6" s="90"/>
    </row>
    <row r="7" spans="1:22" ht="15" customHeight="1" x14ac:dyDescent="0.25">
      <c r="A7" s="16" t="str">
        <f>BALANÇO!A5</f>
        <v>DEMONSTRAÇÕES FINANCEIRAS LEVANTADAS EM 31 DE DEZEMBRO DE 2021 E 2020</v>
      </c>
      <c r="B7" s="16"/>
      <c r="C7" s="16"/>
      <c r="D7" s="16"/>
      <c r="E7" s="16"/>
      <c r="F7" s="14"/>
      <c r="G7" s="14"/>
      <c r="H7" s="14"/>
      <c r="I7" s="14"/>
      <c r="J7" s="14"/>
      <c r="K7" s="14"/>
      <c r="L7" s="14"/>
      <c r="M7" s="14"/>
      <c r="N7" s="14"/>
      <c r="O7" s="14"/>
      <c r="R7" s="88"/>
      <c r="S7" s="88"/>
      <c r="T7" s="90"/>
    </row>
    <row r="8" spans="1:22" ht="15" customHeight="1" x14ac:dyDescent="0.25">
      <c r="A8" s="9"/>
      <c r="B8" s="9"/>
      <c r="C8" s="9"/>
      <c r="D8" s="9"/>
      <c r="E8" s="9"/>
      <c r="F8" s="14"/>
      <c r="G8" s="14"/>
      <c r="H8" s="14"/>
      <c r="I8" s="14"/>
      <c r="J8" s="14"/>
      <c r="K8" s="14"/>
      <c r="L8" s="14"/>
      <c r="M8" s="14"/>
      <c r="N8" s="14"/>
      <c r="O8" s="14"/>
      <c r="R8" s="91"/>
      <c r="S8" s="91"/>
    </row>
    <row r="9" spans="1:22" ht="15" customHeight="1" x14ac:dyDescent="0.25">
      <c r="A9" s="196" t="s">
        <v>106</v>
      </c>
      <c r="B9" s="196"/>
      <c r="C9" s="196"/>
      <c r="D9" s="196"/>
      <c r="E9" s="196"/>
      <c r="F9" s="196"/>
      <c r="G9" s="196"/>
      <c r="H9" s="196"/>
      <c r="I9" s="196"/>
      <c r="J9" s="196"/>
      <c r="K9" s="196"/>
      <c r="L9" s="196"/>
      <c r="M9" s="196"/>
      <c r="N9" s="196"/>
      <c r="O9" s="196"/>
    </row>
    <row r="10" spans="1:22" ht="15" customHeight="1" x14ac:dyDescent="0.25">
      <c r="A10" s="51" t="s">
        <v>1</v>
      </c>
      <c r="B10" s="92"/>
      <c r="C10" s="92"/>
      <c r="D10" s="93"/>
      <c r="E10" s="93"/>
      <c r="F10" s="93"/>
      <c r="G10" s="93"/>
      <c r="H10" s="93"/>
      <c r="I10" s="93"/>
      <c r="J10" s="93"/>
      <c r="K10" s="93"/>
      <c r="L10" s="93"/>
      <c r="M10" s="38"/>
      <c r="N10" s="94"/>
      <c r="O10" s="93"/>
    </row>
    <row r="11" spans="1:22" ht="15" customHeight="1" x14ac:dyDescent="0.3">
      <c r="A11" s="195"/>
      <c r="B11" s="195"/>
      <c r="C11" s="207" t="s">
        <v>107</v>
      </c>
      <c r="D11" s="208" t="s">
        <v>108</v>
      </c>
      <c r="E11" s="95"/>
      <c r="F11" s="95"/>
      <c r="G11" s="210" t="s">
        <v>109</v>
      </c>
      <c r="H11" s="210"/>
      <c r="I11" s="210"/>
      <c r="J11" s="96"/>
      <c r="K11" s="208" t="s">
        <v>110</v>
      </c>
      <c r="L11" s="96"/>
      <c r="M11" s="208" t="s">
        <v>111</v>
      </c>
      <c r="N11" s="95"/>
      <c r="O11" s="208" t="s">
        <v>112</v>
      </c>
      <c r="V11" s="97"/>
    </row>
    <row r="12" spans="1:22" ht="14.25" customHeight="1" x14ac:dyDescent="0.3">
      <c r="A12" s="195"/>
      <c r="B12" s="195"/>
      <c r="C12" s="192"/>
      <c r="D12" s="208"/>
      <c r="E12" s="95"/>
      <c r="F12" s="95"/>
      <c r="G12" s="205" t="s">
        <v>113</v>
      </c>
      <c r="H12" s="205" t="s">
        <v>114</v>
      </c>
      <c r="I12" s="205" t="s">
        <v>115</v>
      </c>
      <c r="J12" s="95"/>
      <c r="K12" s="211"/>
      <c r="L12" s="95"/>
      <c r="M12" s="211"/>
      <c r="N12" s="98"/>
      <c r="O12" s="211"/>
      <c r="P12" s="99"/>
      <c r="V12" s="97"/>
    </row>
    <row r="13" spans="1:22" ht="15" customHeight="1" x14ac:dyDescent="0.3">
      <c r="A13" s="9"/>
      <c r="B13" s="9"/>
      <c r="C13" s="192"/>
      <c r="D13" s="209"/>
      <c r="E13" s="98"/>
      <c r="F13" s="98"/>
      <c r="G13" s="206"/>
      <c r="H13" s="206"/>
      <c r="I13" s="206"/>
      <c r="J13" s="95"/>
      <c r="K13" s="209"/>
      <c r="L13" s="95"/>
      <c r="M13" s="209"/>
      <c r="N13" s="98"/>
      <c r="O13" s="209"/>
      <c r="P13" s="99"/>
      <c r="V13" s="97"/>
    </row>
    <row r="14" spans="1:22" ht="15" hidden="1" customHeight="1" x14ac:dyDescent="0.3">
      <c r="A14" s="9"/>
      <c r="B14" s="9"/>
      <c r="C14" s="9"/>
      <c r="D14" s="95"/>
      <c r="E14" s="95"/>
      <c r="F14" s="95"/>
      <c r="G14" s="95"/>
      <c r="H14" s="95"/>
      <c r="I14" s="95"/>
      <c r="J14" s="95"/>
      <c r="K14" s="95"/>
      <c r="L14" s="95"/>
      <c r="M14" s="96"/>
      <c r="N14" s="96"/>
      <c r="O14" s="96"/>
      <c r="P14" s="99"/>
      <c r="V14" s="97"/>
    </row>
    <row r="15" spans="1:22" ht="15" hidden="1" customHeight="1" x14ac:dyDescent="0.25">
      <c r="A15" s="16" t="s">
        <v>116</v>
      </c>
      <c r="B15" s="100"/>
      <c r="C15" s="100"/>
      <c r="D15" s="100">
        <v>50656963.899999999</v>
      </c>
      <c r="E15" s="100"/>
      <c r="F15" s="100"/>
      <c r="G15" s="100">
        <v>3806134.34</v>
      </c>
      <c r="H15" s="100">
        <v>0</v>
      </c>
      <c r="I15" s="100">
        <v>0</v>
      </c>
      <c r="J15" s="100"/>
      <c r="K15" s="100"/>
      <c r="L15" s="100"/>
      <c r="M15" s="100">
        <v>0</v>
      </c>
      <c r="N15" s="100"/>
      <c r="O15" s="100">
        <f t="shared" ref="O15:O26" si="0">SUM(D15:M15)</f>
        <v>54463098.239999995</v>
      </c>
      <c r="P15" s="101"/>
      <c r="S15" s="102">
        <f t="shared" ref="S15:S23" si="1">ROUND(D15,0)</f>
        <v>50656964</v>
      </c>
    </row>
    <row r="16" spans="1:22" ht="15" hidden="1" customHeight="1" x14ac:dyDescent="0.25">
      <c r="A16" s="17" t="s">
        <v>117</v>
      </c>
      <c r="B16" s="21"/>
      <c r="C16" s="21"/>
      <c r="D16" s="100">
        <v>0</v>
      </c>
      <c r="E16" s="100"/>
      <c r="F16" s="100"/>
      <c r="G16" s="100">
        <v>0</v>
      </c>
      <c r="H16" s="100">
        <v>0</v>
      </c>
      <c r="I16" s="100">
        <v>0</v>
      </c>
      <c r="J16" s="100"/>
      <c r="K16" s="100"/>
      <c r="L16" s="100"/>
      <c r="M16" s="100">
        <v>0</v>
      </c>
      <c r="N16" s="100"/>
      <c r="O16" s="21">
        <f t="shared" si="0"/>
        <v>0</v>
      </c>
      <c r="P16" s="101"/>
      <c r="S16" s="102">
        <f t="shared" si="1"/>
        <v>0</v>
      </c>
    </row>
    <row r="17" spans="1:19" ht="15" hidden="1" customHeight="1" x14ac:dyDescent="0.25">
      <c r="A17" s="17"/>
      <c r="B17" s="21" t="s">
        <v>118</v>
      </c>
      <c r="C17" s="21"/>
      <c r="D17" s="21">
        <v>2617844.79</v>
      </c>
      <c r="E17" s="21"/>
      <c r="F17" s="21"/>
      <c r="G17" s="21"/>
      <c r="H17" s="21">
        <v>0</v>
      </c>
      <c r="I17" s="21">
        <v>0</v>
      </c>
      <c r="J17" s="21"/>
      <c r="K17" s="21"/>
      <c r="L17" s="21"/>
      <c r="M17" s="21">
        <v>0</v>
      </c>
      <c r="N17" s="21"/>
      <c r="O17" s="21">
        <f t="shared" si="0"/>
        <v>2617844.79</v>
      </c>
      <c r="P17" s="101"/>
      <c r="S17" s="102">
        <f t="shared" si="1"/>
        <v>2617845</v>
      </c>
    </row>
    <row r="18" spans="1:19" ht="15" hidden="1" customHeight="1" x14ac:dyDescent="0.25">
      <c r="A18" s="16" t="s">
        <v>119</v>
      </c>
      <c r="B18" s="100"/>
      <c r="C18" s="100"/>
      <c r="D18" s="21">
        <v>0</v>
      </c>
      <c r="E18" s="21"/>
      <c r="F18" s="21"/>
      <c r="G18" s="21">
        <v>0</v>
      </c>
      <c r="H18" s="21">
        <v>0</v>
      </c>
      <c r="I18" s="21">
        <v>0</v>
      </c>
      <c r="J18" s="21"/>
      <c r="K18" s="21"/>
      <c r="L18" s="21"/>
      <c r="M18" s="21">
        <v>19511324</v>
      </c>
      <c r="N18" s="21"/>
      <c r="O18" s="21">
        <f t="shared" si="0"/>
        <v>19511324</v>
      </c>
      <c r="P18" s="101"/>
      <c r="S18" s="102">
        <f t="shared" si="1"/>
        <v>0</v>
      </c>
    </row>
    <row r="19" spans="1:19" ht="15" hidden="1" customHeight="1" x14ac:dyDescent="0.25">
      <c r="A19" s="16"/>
      <c r="B19" s="21" t="s">
        <v>120</v>
      </c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>
        <v>4591756</v>
      </c>
      <c r="N19" s="21"/>
      <c r="O19" s="21">
        <f t="shared" si="0"/>
        <v>4591756</v>
      </c>
      <c r="P19" s="101"/>
      <c r="S19" s="102">
        <f t="shared" si="1"/>
        <v>0</v>
      </c>
    </row>
    <row r="20" spans="1:19" ht="15" hidden="1" customHeight="1" x14ac:dyDescent="0.25">
      <c r="A20" s="16" t="s">
        <v>121</v>
      </c>
      <c r="B20" s="100"/>
      <c r="C20" s="100"/>
      <c r="D20" s="21"/>
      <c r="E20" s="21"/>
      <c r="F20" s="21"/>
      <c r="G20" s="21"/>
      <c r="H20" s="21"/>
      <c r="I20" s="21"/>
      <c r="J20" s="21"/>
      <c r="K20" s="21"/>
      <c r="L20" s="21"/>
      <c r="M20" s="21">
        <v>24103080</v>
      </c>
      <c r="N20" s="21"/>
      <c r="O20" s="21">
        <f t="shared" si="0"/>
        <v>24103080</v>
      </c>
      <c r="P20" s="101"/>
      <c r="S20" s="102">
        <f t="shared" si="1"/>
        <v>0</v>
      </c>
    </row>
    <row r="21" spans="1:19" ht="15" hidden="1" customHeight="1" x14ac:dyDescent="0.25">
      <c r="A21" s="16" t="s">
        <v>122</v>
      </c>
      <c r="B21" s="100"/>
      <c r="C21" s="100"/>
      <c r="D21" s="21">
        <v>0</v>
      </c>
      <c r="E21" s="21"/>
      <c r="F21" s="21"/>
      <c r="G21" s="21">
        <v>0</v>
      </c>
      <c r="H21" s="21">
        <v>0</v>
      </c>
      <c r="I21" s="21">
        <v>0</v>
      </c>
      <c r="J21" s="21"/>
      <c r="K21" s="21"/>
      <c r="L21" s="21"/>
      <c r="M21" s="21">
        <v>0</v>
      </c>
      <c r="N21" s="21"/>
      <c r="O21" s="21">
        <f t="shared" si="0"/>
        <v>0</v>
      </c>
      <c r="P21" s="101"/>
      <c r="S21" s="102">
        <f t="shared" si="1"/>
        <v>0</v>
      </c>
    </row>
    <row r="22" spans="1:19" ht="15" hidden="1" customHeight="1" x14ac:dyDescent="0.25">
      <c r="A22" s="16"/>
      <c r="B22" s="21" t="s">
        <v>123</v>
      </c>
      <c r="C22" s="21"/>
      <c r="D22" s="21">
        <v>0</v>
      </c>
      <c r="E22" s="21"/>
      <c r="F22" s="21"/>
      <c r="G22" s="21">
        <f>-M22</f>
        <v>1205154.02</v>
      </c>
      <c r="H22" s="21">
        <v>0</v>
      </c>
      <c r="I22" s="21">
        <v>0</v>
      </c>
      <c r="J22" s="21"/>
      <c r="K22" s="21"/>
      <c r="L22" s="21"/>
      <c r="M22" s="21">
        <v>-1205154.02</v>
      </c>
      <c r="N22" s="21"/>
      <c r="O22" s="21">
        <f t="shared" si="0"/>
        <v>0</v>
      </c>
      <c r="P22" s="101"/>
      <c r="S22" s="102">
        <f t="shared" si="1"/>
        <v>0</v>
      </c>
    </row>
    <row r="23" spans="1:19" ht="15" hidden="1" customHeight="1" x14ac:dyDescent="0.25">
      <c r="A23" s="16"/>
      <c r="B23" s="21" t="s">
        <v>124</v>
      </c>
      <c r="C23" s="21"/>
      <c r="D23" s="21">
        <v>0</v>
      </c>
      <c r="E23" s="21"/>
      <c r="F23" s="21"/>
      <c r="G23" s="21">
        <v>0</v>
      </c>
      <c r="H23" s="21">
        <v>3568958</v>
      </c>
      <c r="I23" s="21">
        <v>0</v>
      </c>
      <c r="J23" s="21"/>
      <c r="K23" s="21"/>
      <c r="L23" s="21"/>
      <c r="M23" s="21">
        <f>-H23</f>
        <v>-3568958</v>
      </c>
      <c r="N23" s="21"/>
      <c r="O23" s="21">
        <f t="shared" si="0"/>
        <v>0</v>
      </c>
      <c r="P23" s="101"/>
      <c r="S23" s="102">
        <f t="shared" si="1"/>
        <v>0</v>
      </c>
    </row>
    <row r="24" spans="1:19" ht="15" hidden="1" customHeight="1" x14ac:dyDescent="0.25">
      <c r="A24" s="16"/>
      <c r="B24" s="21" t="s">
        <v>125</v>
      </c>
      <c r="C24" s="21"/>
      <c r="D24" s="21">
        <v>0</v>
      </c>
      <c r="E24" s="21"/>
      <c r="F24" s="21"/>
      <c r="G24" s="21">
        <v>0</v>
      </c>
      <c r="H24" s="21">
        <v>0</v>
      </c>
      <c r="I24" s="21">
        <v>0</v>
      </c>
      <c r="J24" s="21"/>
      <c r="K24" s="21"/>
      <c r="L24" s="21"/>
      <c r="M24" s="21">
        <v>-2946775</v>
      </c>
      <c r="N24" s="21"/>
      <c r="O24" s="21">
        <f t="shared" si="0"/>
        <v>-2946775</v>
      </c>
      <c r="P24" s="101"/>
    </row>
    <row r="25" spans="1:19" ht="15" hidden="1" customHeight="1" x14ac:dyDescent="0.25">
      <c r="A25" s="16"/>
      <c r="B25" s="21" t="s">
        <v>126</v>
      </c>
      <c r="C25" s="21"/>
      <c r="D25" s="21">
        <v>0</v>
      </c>
      <c r="E25" s="21"/>
      <c r="F25" s="21"/>
      <c r="G25" s="21">
        <v>0</v>
      </c>
      <c r="H25" s="21">
        <v>0</v>
      </c>
      <c r="I25" s="21">
        <v>0</v>
      </c>
      <c r="J25" s="21"/>
      <c r="K25" s="21"/>
      <c r="L25" s="21"/>
      <c r="M25" s="21">
        <v>-12020024</v>
      </c>
      <c r="N25" s="21"/>
      <c r="O25" s="21">
        <f t="shared" si="0"/>
        <v>-12020024</v>
      </c>
      <c r="P25" s="101"/>
    </row>
    <row r="26" spans="1:19" ht="15" hidden="1" customHeight="1" x14ac:dyDescent="0.25">
      <c r="A26" s="16"/>
      <c r="B26" s="21" t="s">
        <v>127</v>
      </c>
      <c r="C26" s="21"/>
      <c r="D26" s="21"/>
      <c r="E26" s="21"/>
      <c r="F26" s="21"/>
      <c r="G26" s="21"/>
      <c r="H26" s="21"/>
      <c r="I26" s="21">
        <v>4362169</v>
      </c>
      <c r="J26" s="21"/>
      <c r="K26" s="21"/>
      <c r="L26" s="21"/>
      <c r="M26" s="21">
        <f>-I26</f>
        <v>-4362169</v>
      </c>
      <c r="N26" s="21"/>
      <c r="O26" s="21">
        <f t="shared" si="0"/>
        <v>0</v>
      </c>
      <c r="P26" s="101"/>
    </row>
    <row r="27" spans="1:19" ht="15" hidden="1" customHeight="1" x14ac:dyDescent="0.25">
      <c r="A27" s="16" t="s">
        <v>128</v>
      </c>
      <c r="B27" s="100"/>
      <c r="C27" s="100"/>
      <c r="D27" s="103">
        <f>SUM(D15:D25)</f>
        <v>53274808.689999998</v>
      </c>
      <c r="E27" s="100"/>
      <c r="F27" s="100"/>
      <c r="G27" s="103">
        <f>SUM(G15:G25)</f>
        <v>5011288.3599999994</v>
      </c>
      <c r="H27" s="103">
        <f>SUM(H15:H25)</f>
        <v>3568958</v>
      </c>
      <c r="I27" s="103">
        <f>SUM(I15:I26)</f>
        <v>4362169</v>
      </c>
      <c r="J27" s="100"/>
      <c r="K27" s="103">
        <v>0</v>
      </c>
      <c r="L27" s="100"/>
      <c r="M27" s="103">
        <f>SUM(M20:M26)</f>
        <v>-1.9999999552965164E-2</v>
      </c>
      <c r="N27" s="100"/>
      <c r="O27" s="103">
        <f>SUM(O15:O19,O24:O26)+0.24</f>
        <v>66217224.270000003</v>
      </c>
      <c r="P27" s="101"/>
    </row>
    <row r="28" spans="1:19" ht="15" hidden="1" customHeight="1" x14ac:dyDescent="0.25">
      <c r="A28" s="16"/>
      <c r="B28" s="100"/>
      <c r="C28" s="100"/>
      <c r="D28" s="100"/>
      <c r="E28" s="100"/>
      <c r="F28" s="100"/>
      <c r="G28" s="100"/>
      <c r="H28" s="100"/>
      <c r="I28" s="100"/>
      <c r="J28" s="100"/>
      <c r="K28" s="100"/>
      <c r="L28" s="100"/>
      <c r="M28" s="100"/>
      <c r="N28" s="100"/>
      <c r="O28" s="100"/>
      <c r="P28" s="101"/>
      <c r="S28" s="102">
        <f t="shared" ref="S28:S36" si="2">ROUND(D28,0)</f>
        <v>0</v>
      </c>
    </row>
    <row r="29" spans="1:19" ht="15" hidden="1" customHeight="1" x14ac:dyDescent="0.25">
      <c r="A29" s="17" t="s">
        <v>117</v>
      </c>
      <c r="B29" s="21"/>
      <c r="C29" s="21"/>
      <c r="D29" s="21"/>
      <c r="E29" s="21"/>
      <c r="F29" s="100"/>
      <c r="G29" s="100"/>
      <c r="H29" s="21"/>
      <c r="I29" s="100"/>
      <c r="J29" s="100"/>
      <c r="K29" s="100"/>
      <c r="L29" s="100"/>
      <c r="M29" s="100">
        <v>0</v>
      </c>
      <c r="N29" s="100"/>
      <c r="O29" s="21">
        <f>SUM(D29:M29)</f>
        <v>0</v>
      </c>
      <c r="P29" s="101"/>
      <c r="S29" s="102">
        <f t="shared" si="2"/>
        <v>0</v>
      </c>
    </row>
    <row r="30" spans="1:19" ht="15" hidden="1" customHeight="1" x14ac:dyDescent="0.25">
      <c r="A30" s="17"/>
      <c r="B30" s="21" t="s">
        <v>129</v>
      </c>
      <c r="C30" s="21"/>
      <c r="D30" s="21">
        <v>3568958</v>
      </c>
      <c r="E30" s="21"/>
      <c r="F30" s="100"/>
      <c r="G30" s="100"/>
      <c r="H30" s="21">
        <f>-D30</f>
        <v>-3568958</v>
      </c>
      <c r="I30" s="100"/>
      <c r="J30" s="100"/>
      <c r="K30" s="100"/>
      <c r="L30" s="100"/>
      <c r="M30" s="21">
        <v>0</v>
      </c>
      <c r="N30" s="21"/>
      <c r="O30" s="21">
        <f>SUM(D30:M30)</f>
        <v>0</v>
      </c>
      <c r="P30" s="101"/>
      <c r="S30" s="102">
        <f t="shared" si="2"/>
        <v>3568958</v>
      </c>
    </row>
    <row r="31" spans="1:19" ht="15" hidden="1" customHeight="1" x14ac:dyDescent="0.25">
      <c r="A31" s="17"/>
      <c r="B31" s="21"/>
      <c r="C31" s="21"/>
      <c r="D31" s="21"/>
      <c r="E31" s="21"/>
      <c r="F31" s="100"/>
      <c r="G31" s="100"/>
      <c r="H31" s="21"/>
      <c r="I31" s="100"/>
      <c r="J31" s="100"/>
      <c r="K31" s="100"/>
      <c r="L31" s="100"/>
      <c r="M31" s="21"/>
      <c r="N31" s="21"/>
      <c r="O31" s="21"/>
      <c r="P31" s="101"/>
      <c r="S31" s="102">
        <f t="shared" si="2"/>
        <v>0</v>
      </c>
    </row>
    <row r="32" spans="1:19" ht="15" hidden="1" customHeight="1" x14ac:dyDescent="0.25">
      <c r="A32" s="16" t="s">
        <v>119</v>
      </c>
      <c r="B32" s="100"/>
      <c r="C32" s="100"/>
      <c r="D32" s="100"/>
      <c r="E32" s="100"/>
      <c r="F32" s="100"/>
      <c r="G32" s="100"/>
      <c r="H32" s="100"/>
      <c r="I32" s="100"/>
      <c r="J32" s="100"/>
      <c r="K32" s="100"/>
      <c r="L32" s="100"/>
      <c r="M32" s="21">
        <v>24488317.169999991</v>
      </c>
      <c r="N32" s="21"/>
      <c r="O32" s="21">
        <f>SUM(D32:M32)</f>
        <v>24488317.169999991</v>
      </c>
      <c r="P32" s="101"/>
      <c r="S32" s="102">
        <f t="shared" si="2"/>
        <v>0</v>
      </c>
    </row>
    <row r="33" spans="1:19" ht="15" hidden="1" customHeight="1" x14ac:dyDescent="0.25">
      <c r="A33" s="16"/>
      <c r="B33" s="100"/>
      <c r="C33" s="100"/>
      <c r="D33" s="100"/>
      <c r="E33" s="100"/>
      <c r="F33" s="100"/>
      <c r="G33" s="100"/>
      <c r="H33" s="100"/>
      <c r="I33" s="100"/>
      <c r="J33" s="100"/>
      <c r="K33" s="100"/>
      <c r="L33" s="100"/>
      <c r="M33" s="21"/>
      <c r="N33" s="21"/>
      <c r="O33" s="21"/>
      <c r="P33" s="101"/>
      <c r="S33" s="102">
        <f t="shared" si="2"/>
        <v>0</v>
      </c>
    </row>
    <row r="34" spans="1:19" ht="15" hidden="1" customHeight="1" x14ac:dyDescent="0.25">
      <c r="A34" s="16" t="s">
        <v>122</v>
      </c>
      <c r="B34" s="100"/>
      <c r="C34" s="100"/>
      <c r="D34" s="100"/>
      <c r="E34" s="100"/>
      <c r="F34" s="100"/>
      <c r="G34" s="100"/>
      <c r="H34" s="100"/>
      <c r="I34" s="100"/>
      <c r="J34" s="100"/>
      <c r="K34" s="100"/>
      <c r="L34" s="100"/>
      <c r="M34" s="21">
        <v>0</v>
      </c>
      <c r="N34" s="21"/>
      <c r="O34" s="21">
        <f t="shared" ref="O34:O39" si="3">SUM(D34:M34)</f>
        <v>0</v>
      </c>
      <c r="P34" s="101"/>
      <c r="S34" s="102">
        <f t="shared" si="2"/>
        <v>0</v>
      </c>
    </row>
    <row r="35" spans="1:19" ht="15" hidden="1" customHeight="1" x14ac:dyDescent="0.25">
      <c r="A35" s="16"/>
      <c r="B35" s="21" t="s">
        <v>123</v>
      </c>
      <c r="C35" s="21"/>
      <c r="D35" s="100"/>
      <c r="E35" s="100"/>
      <c r="F35" s="100"/>
      <c r="G35" s="21">
        <v>1224415.8400000001</v>
      </c>
      <c r="H35" s="100"/>
      <c r="I35" s="100"/>
      <c r="J35" s="100"/>
      <c r="K35" s="100"/>
      <c r="L35" s="100"/>
      <c r="M35" s="21">
        <v>-1224415.8400000001</v>
      </c>
      <c r="N35" s="21"/>
      <c r="O35" s="21">
        <f t="shared" si="3"/>
        <v>0</v>
      </c>
      <c r="P35" s="99"/>
      <c r="S35" s="102">
        <f t="shared" si="2"/>
        <v>0</v>
      </c>
    </row>
    <row r="36" spans="1:19" ht="15" hidden="1" customHeight="1" x14ac:dyDescent="0.25">
      <c r="A36" s="16"/>
      <c r="B36" s="21" t="s">
        <v>124</v>
      </c>
      <c r="C36" s="21"/>
      <c r="D36" s="100"/>
      <c r="E36" s="100"/>
      <c r="F36" s="100"/>
      <c r="G36" s="100"/>
      <c r="H36" s="21">
        <v>4436149.07</v>
      </c>
      <c r="I36" s="100"/>
      <c r="J36" s="100"/>
      <c r="K36" s="100"/>
      <c r="L36" s="100"/>
      <c r="M36" s="21">
        <v>-4436149.07</v>
      </c>
      <c r="N36" s="21"/>
      <c r="O36" s="21">
        <f t="shared" si="3"/>
        <v>0</v>
      </c>
      <c r="P36" s="99"/>
      <c r="S36" s="102">
        <f t="shared" si="2"/>
        <v>0</v>
      </c>
    </row>
    <row r="37" spans="1:19" ht="15" hidden="1" customHeight="1" x14ac:dyDescent="0.25">
      <c r="A37" s="16"/>
      <c r="B37" s="21" t="s">
        <v>130</v>
      </c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>
        <v>-3367124</v>
      </c>
      <c r="N37" s="21"/>
      <c r="O37" s="21">
        <f t="shared" si="3"/>
        <v>-3367124</v>
      </c>
      <c r="P37" s="101"/>
    </row>
    <row r="38" spans="1:19" ht="15" hidden="1" customHeight="1" x14ac:dyDescent="0.25">
      <c r="A38" s="16"/>
      <c r="B38" s="21" t="s">
        <v>126</v>
      </c>
      <c r="C38" s="21"/>
      <c r="D38" s="21"/>
      <c r="E38" s="21"/>
      <c r="F38" s="21"/>
      <c r="G38" s="21"/>
      <c r="H38" s="21"/>
      <c r="I38" s="21">
        <v>-4362169</v>
      </c>
      <c r="J38" s="21"/>
      <c r="K38" s="21"/>
      <c r="L38" s="21"/>
      <c r="M38" s="21">
        <v>-4706937.9800000004</v>
      </c>
      <c r="N38" s="21"/>
      <c r="O38" s="21">
        <f t="shared" si="3"/>
        <v>-9069106.9800000004</v>
      </c>
      <c r="P38" s="104"/>
    </row>
    <row r="39" spans="1:19" ht="15" hidden="1" customHeight="1" x14ac:dyDescent="0.25">
      <c r="A39" s="16"/>
      <c r="B39" s="21" t="s">
        <v>131</v>
      </c>
      <c r="C39" s="21"/>
      <c r="D39" s="21"/>
      <c r="E39" s="21"/>
      <c r="F39" s="21"/>
      <c r="G39" s="21"/>
      <c r="H39" s="21"/>
      <c r="I39" s="21"/>
      <c r="J39" s="21"/>
      <c r="K39" s="21">
        <v>10753690.279999999</v>
      </c>
      <c r="L39" s="21"/>
      <c r="M39" s="21">
        <v>-10753690.279999999</v>
      </c>
      <c r="N39" s="21"/>
      <c r="O39" s="21">
        <f t="shared" si="3"/>
        <v>0</v>
      </c>
      <c r="P39" s="104"/>
    </row>
    <row r="40" spans="1:19" ht="15" hidden="1" customHeight="1" x14ac:dyDescent="0.25">
      <c r="A40" s="16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104"/>
    </row>
    <row r="41" spans="1:19" ht="15" hidden="1" customHeight="1" x14ac:dyDescent="0.25">
      <c r="A41" s="16" t="s">
        <v>132</v>
      </c>
      <c r="B41" s="100"/>
      <c r="C41" s="100"/>
      <c r="D41" s="103">
        <f>SUM(D27:D39)</f>
        <v>56843766.689999998</v>
      </c>
      <c r="E41" s="100"/>
      <c r="F41" s="100"/>
      <c r="G41" s="103">
        <f>SUM(G27:G39)</f>
        <v>6235704.1999999993</v>
      </c>
      <c r="H41" s="103">
        <f>SUM(H27:H39)</f>
        <v>4436149.07</v>
      </c>
      <c r="I41" s="103">
        <f>SUM(I27:I39)</f>
        <v>0</v>
      </c>
      <c r="J41" s="100"/>
      <c r="K41" s="103">
        <f>SUM(K27:K39)</f>
        <v>10753690.279999999</v>
      </c>
      <c r="L41" s="100"/>
      <c r="M41" s="103">
        <f>SUM(M27:M39)</f>
        <v>-2.000000886619091E-2</v>
      </c>
      <c r="N41" s="100"/>
      <c r="O41" s="103">
        <f>SUM(O27:O39)</f>
        <v>78269310.459999993</v>
      </c>
      <c r="P41" s="104"/>
    </row>
    <row r="42" spans="1:19" ht="15" hidden="1" customHeight="1" x14ac:dyDescent="0.25">
      <c r="A42" s="16"/>
      <c r="B42" s="100"/>
      <c r="C42" s="100"/>
      <c r="D42" s="100"/>
      <c r="E42" s="100"/>
      <c r="F42" s="100"/>
      <c r="G42" s="100"/>
      <c r="H42" s="100"/>
      <c r="I42" s="100"/>
      <c r="J42" s="100"/>
      <c r="K42" s="100"/>
      <c r="L42" s="100"/>
      <c r="M42" s="100"/>
      <c r="N42" s="100"/>
      <c r="O42" s="100"/>
      <c r="P42" s="104"/>
    </row>
    <row r="43" spans="1:19" ht="15" hidden="1" customHeight="1" x14ac:dyDescent="0.25">
      <c r="A43" s="17" t="s">
        <v>117</v>
      </c>
      <c r="B43" s="21"/>
      <c r="C43" s="21"/>
      <c r="D43" s="21"/>
      <c r="E43" s="21"/>
      <c r="F43" s="100"/>
      <c r="G43" s="100"/>
      <c r="H43" s="21"/>
      <c r="I43" s="100"/>
      <c r="J43" s="100"/>
      <c r="K43" s="100"/>
      <c r="L43" s="100"/>
      <c r="M43" s="100">
        <v>0</v>
      </c>
      <c r="N43" s="100"/>
      <c r="O43" s="21">
        <f>SUM(D43:M43)</f>
        <v>0</v>
      </c>
      <c r="P43" s="101"/>
    </row>
    <row r="44" spans="1:19" ht="15" hidden="1" customHeight="1" x14ac:dyDescent="0.25">
      <c r="A44" s="17"/>
      <c r="B44" s="21" t="s">
        <v>129</v>
      </c>
      <c r="C44" s="21"/>
      <c r="D44" s="21">
        <v>4436149.07</v>
      </c>
      <c r="E44" s="21"/>
      <c r="F44" s="100"/>
      <c r="G44" s="100"/>
      <c r="H44" s="21">
        <f>-D44</f>
        <v>-4436149.07</v>
      </c>
      <c r="I44" s="100"/>
      <c r="J44" s="100"/>
      <c r="K44" s="100"/>
      <c r="L44" s="100"/>
      <c r="M44" s="21">
        <v>0</v>
      </c>
      <c r="N44" s="21"/>
      <c r="O44" s="21">
        <f>SUM(D44:M44)</f>
        <v>0</v>
      </c>
      <c r="P44" s="101"/>
    </row>
    <row r="45" spans="1:19" ht="15" hidden="1" customHeight="1" x14ac:dyDescent="0.25">
      <c r="A45" s="17"/>
      <c r="B45" s="21"/>
      <c r="C45" s="21"/>
      <c r="D45" s="21"/>
      <c r="E45" s="21"/>
      <c r="F45" s="100"/>
      <c r="G45" s="100"/>
      <c r="H45" s="21"/>
      <c r="I45" s="100"/>
      <c r="J45" s="100"/>
      <c r="K45" s="100"/>
      <c r="L45" s="100"/>
      <c r="M45" s="21"/>
      <c r="N45" s="21"/>
      <c r="O45" s="21"/>
      <c r="P45" s="101"/>
    </row>
    <row r="46" spans="1:19" ht="15" hidden="1" customHeight="1" x14ac:dyDescent="0.25">
      <c r="A46" s="16" t="s">
        <v>119</v>
      </c>
      <c r="B46" s="100"/>
      <c r="C46" s="100"/>
      <c r="D46" s="100"/>
      <c r="E46" s="100"/>
      <c r="F46" s="100"/>
      <c r="G46" s="100"/>
      <c r="H46" s="100"/>
      <c r="I46" s="100"/>
      <c r="J46" s="100"/>
      <c r="K46" s="100"/>
      <c r="L46" s="100"/>
      <c r="M46" s="21">
        <v>35637084.950000018</v>
      </c>
      <c r="N46" s="21"/>
      <c r="O46" s="21">
        <v>35637084.950000018</v>
      </c>
      <c r="P46" s="101"/>
    </row>
    <row r="47" spans="1:19" ht="15" hidden="1" customHeight="1" x14ac:dyDescent="0.25">
      <c r="A47" s="16"/>
      <c r="B47" s="100"/>
      <c r="C47" s="100"/>
      <c r="D47" s="100"/>
      <c r="E47" s="100"/>
      <c r="F47" s="100"/>
      <c r="G47" s="100"/>
      <c r="H47" s="100"/>
      <c r="I47" s="100"/>
      <c r="J47" s="100"/>
      <c r="K47" s="100"/>
      <c r="L47" s="100"/>
      <c r="M47" s="21"/>
      <c r="N47" s="21"/>
      <c r="O47" s="21"/>
      <c r="P47" s="101"/>
    </row>
    <row r="48" spans="1:19" ht="15" hidden="1" customHeight="1" x14ac:dyDescent="0.25">
      <c r="A48" s="16" t="s">
        <v>122</v>
      </c>
      <c r="B48" s="100"/>
      <c r="C48" s="100"/>
      <c r="D48" s="100"/>
      <c r="E48" s="100"/>
      <c r="F48" s="100"/>
      <c r="G48" s="100"/>
      <c r="H48" s="100"/>
      <c r="I48" s="100"/>
      <c r="J48" s="100"/>
      <c r="K48" s="100"/>
      <c r="L48" s="100"/>
      <c r="M48" s="21">
        <v>0</v>
      </c>
      <c r="N48" s="21"/>
      <c r="O48" s="21">
        <f t="shared" ref="O48:O53" si="4">SUM(D48:M48)</f>
        <v>0</v>
      </c>
      <c r="P48" s="101"/>
    </row>
    <row r="49" spans="1:16" ht="15" hidden="1" customHeight="1" x14ac:dyDescent="0.25">
      <c r="A49" s="16"/>
      <c r="B49" s="21" t="s">
        <v>123</v>
      </c>
      <c r="C49" s="21"/>
      <c r="D49" s="100"/>
      <c r="E49" s="100"/>
      <c r="F49" s="100"/>
      <c r="G49" s="21">
        <v>1781854.25</v>
      </c>
      <c r="H49" s="100"/>
      <c r="I49" s="100"/>
      <c r="J49" s="100"/>
      <c r="K49" s="100"/>
      <c r="L49" s="100"/>
      <c r="M49" s="21">
        <v>-1781854.25</v>
      </c>
      <c r="N49" s="21"/>
      <c r="O49" s="21">
        <f t="shared" si="4"/>
        <v>0</v>
      </c>
      <c r="P49" s="99"/>
    </row>
    <row r="50" spans="1:16" ht="15" hidden="1" customHeight="1" x14ac:dyDescent="0.25">
      <c r="A50" s="16"/>
      <c r="B50" s="21" t="s">
        <v>124</v>
      </c>
      <c r="C50" s="21"/>
      <c r="D50" s="100"/>
      <c r="E50" s="100"/>
      <c r="F50" s="100"/>
      <c r="G50" s="100"/>
      <c r="H50" s="21">
        <v>6849665.0700000003</v>
      </c>
      <c r="I50" s="100"/>
      <c r="J50" s="100"/>
      <c r="K50" s="100"/>
      <c r="L50" s="100"/>
      <c r="M50" s="21">
        <v>-6849665.0700000003</v>
      </c>
      <c r="N50" s="21"/>
      <c r="O50" s="21">
        <f t="shared" si="4"/>
        <v>0</v>
      </c>
      <c r="P50" s="99"/>
    </row>
    <row r="51" spans="1:16" ht="15" hidden="1" customHeight="1" x14ac:dyDescent="0.25">
      <c r="A51" s="16"/>
      <c r="B51" s="21" t="s">
        <v>130</v>
      </c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>
        <v>-3307743.35</v>
      </c>
      <c r="N51" s="21"/>
      <c r="O51" s="21">
        <f t="shared" si="4"/>
        <v>-3307743.35</v>
      </c>
      <c r="P51" s="101"/>
    </row>
    <row r="52" spans="1:16" ht="15" hidden="1" customHeight="1" x14ac:dyDescent="0.25">
      <c r="A52" s="16"/>
      <c r="B52" s="21" t="s">
        <v>126</v>
      </c>
      <c r="C52" s="21"/>
      <c r="D52" s="21"/>
      <c r="E52" s="21"/>
      <c r="F52" s="21"/>
      <c r="G52" s="21"/>
      <c r="H52" s="21"/>
      <c r="I52" s="21"/>
      <c r="J52" s="21"/>
      <c r="K52" s="21">
        <v>-10753690.279999999</v>
      </c>
      <c r="L52" s="21"/>
      <c r="M52" s="21">
        <v>-6751391.4199999999</v>
      </c>
      <c r="N52" s="21"/>
      <c r="O52" s="21">
        <f t="shared" si="4"/>
        <v>-17505081.699999999</v>
      </c>
      <c r="P52" s="104"/>
    </row>
    <row r="53" spans="1:16" ht="15" hidden="1" customHeight="1" x14ac:dyDescent="0.25">
      <c r="A53" s="16"/>
      <c r="B53" s="21" t="s">
        <v>131</v>
      </c>
      <c r="C53" s="21"/>
      <c r="D53" s="21"/>
      <c r="E53" s="21"/>
      <c r="F53" s="21"/>
      <c r="G53" s="21"/>
      <c r="H53" s="21"/>
      <c r="I53" s="21"/>
      <c r="J53" s="21"/>
      <c r="K53" s="21">
        <v>16946430.859999999</v>
      </c>
      <c r="L53" s="21"/>
      <c r="M53" s="21">
        <v>-16946430.859999999</v>
      </c>
      <c r="N53" s="21"/>
      <c r="O53" s="21">
        <f t="shared" si="4"/>
        <v>0</v>
      </c>
      <c r="P53" s="104"/>
    </row>
    <row r="54" spans="1:16" ht="15" hidden="1" customHeight="1" x14ac:dyDescent="0.25">
      <c r="A54" s="16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104"/>
    </row>
    <row r="55" spans="1:16" ht="15" hidden="1" customHeight="1" x14ac:dyDescent="0.25">
      <c r="A55" s="16" t="s">
        <v>133</v>
      </c>
      <c r="B55" s="100"/>
      <c r="C55" s="100"/>
      <c r="D55" s="103">
        <f>SUM(D41:D53)</f>
        <v>61279915.759999998</v>
      </c>
      <c r="E55" s="100"/>
      <c r="F55" s="100"/>
      <c r="G55" s="103">
        <f>SUM(G41:G53)</f>
        <v>8017558.4499999993</v>
      </c>
      <c r="H55" s="103">
        <f>SUM(H41:H53)</f>
        <v>6849665.0700000003</v>
      </c>
      <c r="I55" s="103">
        <f>SUM(I41:I53)</f>
        <v>0</v>
      </c>
      <c r="J55" s="100"/>
      <c r="K55" s="103">
        <v>16946430.859999999</v>
      </c>
      <c r="L55" s="100"/>
      <c r="M55" s="103">
        <f>SUM(M41:M53)</f>
        <v>-1.9999995827674866E-2</v>
      </c>
      <c r="N55" s="100"/>
      <c r="O55" s="103">
        <f>SUM(O41:O53)</f>
        <v>93093570.360000014</v>
      </c>
      <c r="P55" s="104"/>
    </row>
    <row r="56" spans="1:16" ht="15" hidden="1" customHeight="1" x14ac:dyDescent="0.25">
      <c r="A56" s="16"/>
      <c r="B56" s="100"/>
      <c r="C56" s="100"/>
      <c r="D56" s="100"/>
      <c r="E56" s="100"/>
      <c r="F56" s="100"/>
      <c r="G56" s="100"/>
      <c r="H56" s="100"/>
      <c r="I56" s="100"/>
      <c r="J56" s="100"/>
      <c r="K56" s="100"/>
      <c r="L56" s="100"/>
      <c r="M56" s="100"/>
      <c r="N56" s="100"/>
      <c r="O56" s="100"/>
      <c r="P56" s="104"/>
    </row>
    <row r="57" spans="1:16" ht="15" hidden="1" customHeight="1" x14ac:dyDescent="0.25">
      <c r="A57" s="17" t="s">
        <v>117</v>
      </c>
      <c r="B57" s="21"/>
      <c r="C57" s="21"/>
      <c r="D57" s="21"/>
      <c r="E57" s="21"/>
      <c r="F57" s="100"/>
      <c r="G57" s="100"/>
      <c r="H57" s="21"/>
      <c r="I57" s="100"/>
      <c r="J57" s="100"/>
      <c r="K57" s="100"/>
      <c r="L57" s="100"/>
      <c r="M57" s="100">
        <v>0</v>
      </c>
      <c r="N57" s="100"/>
      <c r="O57" s="21">
        <f>SUM(D57:M57)</f>
        <v>0</v>
      </c>
      <c r="P57" s="101"/>
    </row>
    <row r="58" spans="1:16" ht="15" hidden="1" customHeight="1" x14ac:dyDescent="0.25">
      <c r="A58" s="17"/>
      <c r="B58" s="21" t="s">
        <v>129</v>
      </c>
      <c r="C58" s="21"/>
      <c r="D58" s="21">
        <v>6849665.0699999994</v>
      </c>
      <c r="E58" s="21"/>
      <c r="F58" s="100"/>
      <c r="G58" s="100"/>
      <c r="H58" s="21">
        <f>-D58</f>
        <v>-6849665.0699999994</v>
      </c>
      <c r="I58" s="100"/>
      <c r="J58" s="100"/>
      <c r="K58" s="100"/>
      <c r="L58" s="100"/>
      <c r="M58" s="21">
        <v>0</v>
      </c>
      <c r="N58" s="21"/>
      <c r="O58" s="21">
        <f>SUM(D58:M58)</f>
        <v>0</v>
      </c>
      <c r="P58" s="101"/>
    </row>
    <row r="59" spans="1:16" ht="15" hidden="1" customHeight="1" x14ac:dyDescent="0.25">
      <c r="A59" s="17"/>
      <c r="B59" s="21"/>
      <c r="C59" s="21"/>
      <c r="D59" s="21"/>
      <c r="E59" s="21"/>
      <c r="F59" s="100"/>
      <c r="G59" s="100"/>
      <c r="H59" s="21"/>
      <c r="I59" s="100"/>
      <c r="J59" s="100"/>
      <c r="K59" s="100"/>
      <c r="L59" s="100"/>
      <c r="M59" s="21"/>
      <c r="N59" s="21"/>
      <c r="O59" s="21"/>
      <c r="P59" s="101"/>
    </row>
    <row r="60" spans="1:16" ht="15" hidden="1" customHeight="1" x14ac:dyDescent="0.25">
      <c r="A60" s="16" t="s">
        <v>119</v>
      </c>
      <c r="B60" s="100"/>
      <c r="C60" s="100"/>
      <c r="D60" s="100"/>
      <c r="E60" s="100"/>
      <c r="F60" s="100"/>
      <c r="G60" s="100"/>
      <c r="H60" s="100"/>
      <c r="I60" s="100"/>
      <c r="J60" s="100"/>
      <c r="K60" s="100"/>
      <c r="L60" s="100"/>
      <c r="M60" s="21">
        <v>27466971.450000003</v>
      </c>
      <c r="N60" s="21"/>
      <c r="O60" s="21">
        <f>SUM(D60:M60)</f>
        <v>27466971.450000003</v>
      </c>
      <c r="P60" s="101"/>
    </row>
    <row r="61" spans="1:16" ht="15" hidden="1" customHeight="1" x14ac:dyDescent="0.25">
      <c r="A61" s="16"/>
      <c r="B61" s="100"/>
      <c r="C61" s="100"/>
      <c r="D61" s="100"/>
      <c r="E61" s="100"/>
      <c r="F61" s="100"/>
      <c r="G61" s="100"/>
      <c r="H61" s="100"/>
      <c r="I61" s="100"/>
      <c r="J61" s="100"/>
      <c r="K61" s="100"/>
      <c r="L61" s="100"/>
      <c r="M61" s="21"/>
      <c r="N61" s="21"/>
      <c r="O61" s="21"/>
      <c r="P61" s="101"/>
    </row>
    <row r="62" spans="1:16" ht="15" hidden="1" customHeight="1" x14ac:dyDescent="0.25">
      <c r="A62" s="16" t="s">
        <v>122</v>
      </c>
      <c r="B62" s="100"/>
      <c r="C62" s="100"/>
      <c r="D62" s="100"/>
      <c r="E62" s="100"/>
      <c r="F62" s="100"/>
      <c r="G62" s="100"/>
      <c r="H62" s="100"/>
      <c r="I62" s="100"/>
      <c r="J62" s="100"/>
      <c r="K62" s="100"/>
      <c r="L62" s="100"/>
      <c r="M62" s="21">
        <v>0</v>
      </c>
      <c r="N62" s="21"/>
      <c r="O62" s="21">
        <f t="shared" ref="O62:O67" si="5">SUM(D62:M62)</f>
        <v>0</v>
      </c>
      <c r="P62" s="101"/>
    </row>
    <row r="63" spans="1:16" ht="15" hidden="1" customHeight="1" x14ac:dyDescent="0.25">
      <c r="A63" s="16"/>
      <c r="B63" s="21" t="s">
        <v>123</v>
      </c>
      <c r="C63" s="21"/>
      <c r="D63" s="100"/>
      <c r="E63" s="100"/>
      <c r="F63" s="100"/>
      <c r="G63" s="21">
        <v>1373348.57</v>
      </c>
      <c r="H63" s="100"/>
      <c r="I63" s="100"/>
      <c r="J63" s="100"/>
      <c r="K63" s="100"/>
      <c r="L63" s="100"/>
      <c r="M63" s="21">
        <v>-1373348.57</v>
      </c>
      <c r="N63" s="21"/>
      <c r="O63" s="21">
        <f t="shared" si="5"/>
        <v>0</v>
      </c>
      <c r="P63" s="99"/>
    </row>
    <row r="64" spans="1:16" ht="15" hidden="1" customHeight="1" x14ac:dyDescent="0.25">
      <c r="A64" s="16"/>
      <c r="B64" s="21" t="s">
        <v>124</v>
      </c>
      <c r="C64" s="21"/>
      <c r="D64" s="100"/>
      <c r="E64" s="100"/>
      <c r="F64" s="100"/>
      <c r="G64" s="100"/>
      <c r="H64" s="21">
        <v>4525612.92</v>
      </c>
      <c r="I64" s="100"/>
      <c r="J64" s="100"/>
      <c r="K64" s="100"/>
      <c r="L64" s="100"/>
      <c r="M64" s="21">
        <v>-4525612.92</v>
      </c>
      <c r="N64" s="21"/>
      <c r="O64" s="21">
        <f t="shared" si="5"/>
        <v>0</v>
      </c>
      <c r="P64" s="99"/>
    </row>
    <row r="65" spans="1:16" ht="15" hidden="1" customHeight="1" x14ac:dyDescent="0.25">
      <c r="A65" s="16"/>
      <c r="B65" s="21" t="s">
        <v>130</v>
      </c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>
        <v>-5026347.1300000008</v>
      </c>
      <c r="N65" s="21"/>
      <c r="O65" s="21">
        <f t="shared" si="5"/>
        <v>-5026347.1300000008</v>
      </c>
      <c r="P65" s="101"/>
    </row>
    <row r="66" spans="1:16" ht="15" hidden="1" customHeight="1" x14ac:dyDescent="0.25">
      <c r="A66" s="16"/>
      <c r="B66" s="21" t="s">
        <v>126</v>
      </c>
      <c r="C66" s="21"/>
      <c r="D66" s="21"/>
      <c r="E66" s="21"/>
      <c r="F66" s="21"/>
      <c r="G66" s="21"/>
      <c r="H66" s="21"/>
      <c r="I66" s="21"/>
      <c r="J66" s="21"/>
      <c r="K66" s="21">
        <v>-16946430.859999999</v>
      </c>
      <c r="L66" s="21"/>
      <c r="M66" s="21">
        <v>-5392002.5</v>
      </c>
      <c r="N66" s="21"/>
      <c r="O66" s="21">
        <f t="shared" si="5"/>
        <v>-22338433.359999999</v>
      </c>
      <c r="P66" s="104"/>
    </row>
    <row r="67" spans="1:16" ht="15" hidden="1" customHeight="1" x14ac:dyDescent="0.25">
      <c r="A67" s="16"/>
      <c r="B67" s="21" t="s">
        <v>131</v>
      </c>
      <c r="C67" s="21"/>
      <c r="D67" s="21"/>
      <c r="E67" s="21"/>
      <c r="F67" s="21"/>
      <c r="G67" s="21"/>
      <c r="H67" s="21"/>
      <c r="I67" s="21"/>
      <c r="J67" s="21"/>
      <c r="K67" s="21">
        <v>11149660.330000002</v>
      </c>
      <c r="L67" s="21"/>
      <c r="M67" s="21">
        <v>-11149660.330000002</v>
      </c>
      <c r="N67" s="21"/>
      <c r="O67" s="21">
        <f t="shared" si="5"/>
        <v>0</v>
      </c>
      <c r="P67" s="104"/>
    </row>
    <row r="68" spans="1:16" ht="15" hidden="1" customHeight="1" x14ac:dyDescent="0.25">
      <c r="A68" s="16"/>
      <c r="B68" s="21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104"/>
    </row>
    <row r="69" spans="1:16" ht="15" hidden="1" customHeight="1" x14ac:dyDescent="0.25">
      <c r="A69" s="16" t="s">
        <v>134</v>
      </c>
      <c r="B69" s="100"/>
      <c r="C69" s="100"/>
      <c r="D69" s="103">
        <f>SUM(D55:D67)</f>
        <v>68129580.829999998</v>
      </c>
      <c r="E69" s="100"/>
      <c r="F69" s="100"/>
      <c r="G69" s="103">
        <f>SUM(G55:G67)</f>
        <v>9390907.0199999996</v>
      </c>
      <c r="H69" s="103">
        <f>SUM(H55:H67)</f>
        <v>4525612.9200000009</v>
      </c>
      <c r="I69" s="103">
        <f>SUM(I55:I67)</f>
        <v>0</v>
      </c>
      <c r="J69" s="100"/>
      <c r="K69" s="103">
        <f>SUM(K55:K67)</f>
        <v>11149660.330000002</v>
      </c>
      <c r="L69" s="100"/>
      <c r="M69" s="103">
        <f>SUM(M55:M67)</f>
        <v>-1.9999997690320015E-2</v>
      </c>
      <c r="N69" s="100"/>
      <c r="O69" s="103">
        <f>SUM(O55:O67)</f>
        <v>93195761.320000023</v>
      </c>
      <c r="P69" s="104"/>
    </row>
    <row r="70" spans="1:16" ht="15" hidden="1" customHeight="1" x14ac:dyDescent="0.25">
      <c r="A70" s="16"/>
      <c r="B70" s="100"/>
      <c r="C70" s="100"/>
      <c r="D70" s="100"/>
      <c r="E70" s="100"/>
      <c r="F70" s="100"/>
      <c r="G70" s="100"/>
      <c r="H70" s="100"/>
      <c r="I70" s="100"/>
      <c r="J70" s="100"/>
      <c r="K70" s="100"/>
      <c r="L70" s="100"/>
      <c r="M70" s="100"/>
      <c r="N70" s="100"/>
      <c r="O70" s="100"/>
      <c r="P70" s="104"/>
    </row>
    <row r="71" spans="1:16" ht="15" hidden="1" customHeight="1" x14ac:dyDescent="0.25">
      <c r="A71" s="17" t="s">
        <v>117</v>
      </c>
      <c r="B71" s="21"/>
      <c r="C71" s="21"/>
      <c r="D71" s="21"/>
      <c r="E71" s="21"/>
      <c r="F71" s="100"/>
      <c r="G71" s="100"/>
      <c r="H71" s="21"/>
      <c r="I71" s="100"/>
      <c r="J71" s="100"/>
      <c r="K71" s="100"/>
      <c r="L71" s="100"/>
      <c r="M71" s="100">
        <v>0</v>
      </c>
      <c r="N71" s="100"/>
      <c r="O71" s="21">
        <f>SUM(D71:M71)</f>
        <v>0</v>
      </c>
      <c r="P71" s="101"/>
    </row>
    <row r="72" spans="1:16" ht="15" hidden="1" customHeight="1" x14ac:dyDescent="0.25">
      <c r="A72" s="17"/>
      <c r="B72" s="21" t="s">
        <v>129</v>
      </c>
      <c r="C72" s="21"/>
      <c r="D72" s="21">
        <v>4525613</v>
      </c>
      <c r="E72" s="21"/>
      <c r="F72" s="100"/>
      <c r="G72" s="100"/>
      <c r="H72" s="21">
        <f>-D72</f>
        <v>-4525613</v>
      </c>
      <c r="I72" s="100"/>
      <c r="J72" s="100"/>
      <c r="K72" s="100"/>
      <c r="L72" s="100"/>
      <c r="M72" s="21">
        <v>0</v>
      </c>
      <c r="N72" s="21"/>
      <c r="O72" s="21">
        <f>SUM(D72:M72)</f>
        <v>0</v>
      </c>
      <c r="P72" s="101"/>
    </row>
    <row r="73" spans="1:16" ht="15" hidden="1" customHeight="1" x14ac:dyDescent="0.25">
      <c r="A73" s="17"/>
      <c r="B73" s="21"/>
      <c r="C73" s="21"/>
      <c r="D73" s="21"/>
      <c r="E73" s="21"/>
      <c r="F73" s="100"/>
      <c r="G73" s="100"/>
      <c r="H73" s="21"/>
      <c r="I73" s="100"/>
      <c r="J73" s="100"/>
      <c r="K73" s="100"/>
      <c r="L73" s="100"/>
      <c r="M73" s="21"/>
      <c r="N73" s="21"/>
      <c r="O73" s="21"/>
      <c r="P73" s="101"/>
    </row>
    <row r="74" spans="1:16" ht="15" hidden="1" customHeight="1" x14ac:dyDescent="0.25">
      <c r="A74" s="16" t="s">
        <v>119</v>
      </c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21">
        <v>37850508</v>
      </c>
      <c r="N74" s="21"/>
      <c r="O74" s="21">
        <f>SUM(D74:M74)</f>
        <v>37850508</v>
      </c>
      <c r="P74" s="101"/>
    </row>
    <row r="75" spans="1:16" ht="15" hidden="1" customHeight="1" x14ac:dyDescent="0.25">
      <c r="A75" s="16"/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21"/>
      <c r="N75" s="21"/>
      <c r="O75" s="21"/>
      <c r="P75" s="101"/>
    </row>
    <row r="76" spans="1:16" ht="15" hidden="1" customHeight="1" x14ac:dyDescent="0.25">
      <c r="A76" s="16" t="s">
        <v>122</v>
      </c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L76" s="100"/>
      <c r="M76" s="21">
        <v>0</v>
      </c>
      <c r="N76" s="21"/>
      <c r="O76" s="21">
        <f t="shared" ref="O76:O81" si="6">SUM(D76:M76)</f>
        <v>0</v>
      </c>
      <c r="P76" s="101"/>
    </row>
    <row r="77" spans="1:16" ht="15" hidden="1" customHeight="1" x14ac:dyDescent="0.25">
      <c r="A77" s="16"/>
      <c r="B77" s="21" t="s">
        <v>123</v>
      </c>
      <c r="C77" s="21"/>
      <c r="D77" s="100"/>
      <c r="E77" s="100"/>
      <c r="F77" s="100"/>
      <c r="G77" s="21">
        <v>1892525</v>
      </c>
      <c r="H77" s="100"/>
      <c r="I77" s="100"/>
      <c r="J77" s="100"/>
      <c r="K77" s="100"/>
      <c r="L77" s="100"/>
      <c r="M77" s="21">
        <v>-1892525</v>
      </c>
      <c r="N77" s="21"/>
      <c r="O77" s="21">
        <f t="shared" si="6"/>
        <v>0</v>
      </c>
      <c r="P77" s="99"/>
    </row>
    <row r="78" spans="1:16" ht="15" hidden="1" customHeight="1" x14ac:dyDescent="0.25">
      <c r="A78" s="16"/>
      <c r="B78" s="21" t="s">
        <v>124</v>
      </c>
      <c r="C78" s="21"/>
      <c r="D78" s="100"/>
      <c r="E78" s="100"/>
      <c r="F78" s="100"/>
      <c r="G78" s="100"/>
      <c r="H78" s="21">
        <v>7333546</v>
      </c>
      <c r="I78" s="100"/>
      <c r="J78" s="100"/>
      <c r="K78" s="100"/>
      <c r="L78" s="100"/>
      <c r="M78" s="21">
        <v>-7333546</v>
      </c>
      <c r="N78" s="21"/>
      <c r="O78" s="21">
        <f t="shared" si="6"/>
        <v>0</v>
      </c>
      <c r="P78" s="99"/>
    </row>
    <row r="79" spans="1:16" ht="15" hidden="1" customHeight="1" x14ac:dyDescent="0.25">
      <c r="A79" s="16"/>
      <c r="B79" s="21" t="s">
        <v>130</v>
      </c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1">
        <v>-5678017</v>
      </c>
      <c r="N79" s="21"/>
      <c r="O79" s="21">
        <f t="shared" si="6"/>
        <v>-5678017</v>
      </c>
      <c r="P79" s="101"/>
    </row>
    <row r="80" spans="1:16" ht="15" hidden="1" customHeight="1" x14ac:dyDescent="0.25">
      <c r="A80" s="16"/>
      <c r="B80" s="21" t="s">
        <v>126</v>
      </c>
      <c r="C80" s="21"/>
      <c r="D80" s="21"/>
      <c r="E80" s="21"/>
      <c r="F80" s="21"/>
      <c r="G80" s="21"/>
      <c r="H80" s="21"/>
      <c r="I80" s="21"/>
      <c r="J80" s="21"/>
      <c r="K80" s="21">
        <v>-11149660.33</v>
      </c>
      <c r="L80" s="21"/>
      <c r="M80" s="21">
        <v>-7156109</v>
      </c>
      <c r="N80" s="21"/>
      <c r="O80" s="21">
        <f t="shared" si="6"/>
        <v>-18305769.329999998</v>
      </c>
      <c r="P80" s="104"/>
    </row>
    <row r="81" spans="1:16" ht="15" hidden="1" customHeight="1" x14ac:dyDescent="0.25">
      <c r="A81" s="16"/>
      <c r="B81" s="21" t="s">
        <v>131</v>
      </c>
      <c r="C81" s="21"/>
      <c r="D81" s="21"/>
      <c r="E81" s="21"/>
      <c r="F81" s="21"/>
      <c r="G81" s="21"/>
      <c r="H81" s="21"/>
      <c r="I81" s="21"/>
      <c r="J81" s="21"/>
      <c r="K81" s="21">
        <v>15790311</v>
      </c>
      <c r="L81" s="21"/>
      <c r="M81" s="21">
        <v>-15790311</v>
      </c>
      <c r="N81" s="21"/>
      <c r="O81" s="21">
        <f t="shared" si="6"/>
        <v>0</v>
      </c>
      <c r="P81" s="104"/>
    </row>
    <row r="82" spans="1:16" ht="15" hidden="1" customHeight="1" x14ac:dyDescent="0.25">
      <c r="A82" s="16"/>
      <c r="B82" s="21"/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104"/>
    </row>
    <row r="83" spans="1:16" ht="15" hidden="1" customHeight="1" x14ac:dyDescent="0.25">
      <c r="A83" s="16" t="s">
        <v>135</v>
      </c>
      <c r="B83" s="100"/>
      <c r="C83" s="100"/>
      <c r="D83" s="103">
        <v>72655194</v>
      </c>
      <c r="E83" s="100"/>
      <c r="F83" s="100"/>
      <c r="G83" s="103">
        <f>11283432+1</f>
        <v>11283433</v>
      </c>
      <c r="H83" s="103">
        <v>7333546</v>
      </c>
      <c r="I83" s="103">
        <v>0</v>
      </c>
      <c r="J83" s="100"/>
      <c r="K83" s="103">
        <v>15790311</v>
      </c>
      <c r="L83" s="100"/>
      <c r="M83" s="103">
        <v>0</v>
      </c>
      <c r="N83" s="100"/>
      <c r="O83" s="103">
        <f>SUM(D83:M83)</f>
        <v>107062484</v>
      </c>
      <c r="P83" s="104"/>
    </row>
    <row r="84" spans="1:16" ht="15" hidden="1" customHeight="1" x14ac:dyDescent="0.25">
      <c r="A84" s="16"/>
      <c r="B84" s="100"/>
      <c r="C84" s="100"/>
      <c r="D84" s="100"/>
      <c r="E84" s="100"/>
      <c r="F84" s="100"/>
      <c r="G84" s="100"/>
      <c r="H84" s="100"/>
      <c r="I84" s="100"/>
      <c r="J84" s="100"/>
      <c r="K84" s="100"/>
      <c r="L84" s="100"/>
      <c r="M84" s="100"/>
      <c r="N84" s="100"/>
      <c r="O84" s="100"/>
      <c r="P84" s="104"/>
    </row>
    <row r="85" spans="1:16" ht="15" hidden="1" customHeight="1" x14ac:dyDescent="0.25">
      <c r="A85" s="17" t="s">
        <v>117</v>
      </c>
      <c r="B85" s="21"/>
      <c r="C85" s="21"/>
      <c r="D85" s="21"/>
      <c r="E85" s="21"/>
      <c r="F85" s="100"/>
      <c r="G85" s="100"/>
      <c r="H85" s="21"/>
      <c r="I85" s="100"/>
      <c r="J85" s="100"/>
      <c r="K85" s="100"/>
      <c r="L85" s="100"/>
      <c r="M85" s="100">
        <v>0</v>
      </c>
      <c r="N85" s="100"/>
      <c r="O85" s="21">
        <f>SUM(D85:M85)</f>
        <v>0</v>
      </c>
      <c r="P85" s="101"/>
    </row>
    <row r="86" spans="1:16" ht="15" hidden="1" customHeight="1" x14ac:dyDescent="0.25">
      <c r="A86" s="17"/>
      <c r="B86" s="21" t="s">
        <v>129</v>
      </c>
      <c r="C86" s="21"/>
      <c r="D86" s="21">
        <v>7333546</v>
      </c>
      <c r="E86" s="21"/>
      <c r="F86" s="100"/>
      <c r="G86" s="100"/>
      <c r="H86" s="21">
        <f>-D86</f>
        <v>-7333546</v>
      </c>
      <c r="I86" s="100"/>
      <c r="J86" s="100"/>
      <c r="K86" s="100"/>
      <c r="L86" s="100"/>
      <c r="M86" s="21">
        <v>0</v>
      </c>
      <c r="N86" s="21"/>
      <c r="O86" s="21">
        <f>SUM(D86:M86)</f>
        <v>0</v>
      </c>
      <c r="P86" s="101"/>
    </row>
    <row r="87" spans="1:16" ht="15" hidden="1" customHeight="1" x14ac:dyDescent="0.25">
      <c r="A87" s="17"/>
      <c r="B87" s="21"/>
      <c r="C87" s="21"/>
      <c r="D87" s="21"/>
      <c r="E87" s="21"/>
      <c r="F87" s="100"/>
      <c r="G87" s="100"/>
      <c r="H87" s="21"/>
      <c r="I87" s="100"/>
      <c r="J87" s="100"/>
      <c r="K87" s="100"/>
      <c r="L87" s="100"/>
      <c r="M87" s="21"/>
      <c r="N87" s="21"/>
      <c r="O87" s="21"/>
      <c r="P87" s="101"/>
    </row>
    <row r="88" spans="1:16" ht="15" hidden="1" customHeight="1" x14ac:dyDescent="0.25">
      <c r="A88" s="16" t="s">
        <v>119</v>
      </c>
      <c r="B88" s="100"/>
      <c r="C88" s="100"/>
      <c r="D88" s="100"/>
      <c r="E88" s="100"/>
      <c r="F88" s="100"/>
      <c r="G88" s="100"/>
      <c r="H88" s="100"/>
      <c r="I88" s="100"/>
      <c r="J88" s="100"/>
      <c r="K88" s="100"/>
      <c r="L88" s="100"/>
      <c r="M88" s="21">
        <v>35628725</v>
      </c>
      <c r="N88" s="21"/>
      <c r="O88" s="21">
        <f>SUM(D88:M88)</f>
        <v>35628725</v>
      </c>
      <c r="P88" s="101"/>
    </row>
    <row r="89" spans="1:16" ht="15" hidden="1" customHeight="1" x14ac:dyDescent="0.25">
      <c r="A89" s="16"/>
      <c r="B89" s="100"/>
      <c r="C89" s="100"/>
      <c r="D89" s="100"/>
      <c r="E89" s="100"/>
      <c r="F89" s="100"/>
      <c r="G89" s="100"/>
      <c r="H89" s="100"/>
      <c r="I89" s="100"/>
      <c r="J89" s="100"/>
      <c r="K89" s="100"/>
      <c r="L89" s="100"/>
      <c r="M89" s="21"/>
      <c r="N89" s="21"/>
      <c r="O89" s="21"/>
      <c r="P89" s="101"/>
    </row>
    <row r="90" spans="1:16" ht="15" hidden="1" customHeight="1" x14ac:dyDescent="0.25">
      <c r="A90" s="16" t="s">
        <v>122</v>
      </c>
      <c r="B90" s="100"/>
      <c r="C90" s="100"/>
      <c r="D90" s="100"/>
      <c r="E90" s="100"/>
      <c r="F90" s="100"/>
      <c r="G90" s="100"/>
      <c r="H90" s="100"/>
      <c r="I90" s="100"/>
      <c r="J90" s="100"/>
      <c r="K90" s="100"/>
      <c r="L90" s="100"/>
      <c r="M90" s="21">
        <v>0</v>
      </c>
      <c r="N90" s="21"/>
      <c r="O90" s="21">
        <f t="shared" ref="O90:O95" si="7">SUM(D90:M90)</f>
        <v>0</v>
      </c>
      <c r="P90" s="101"/>
    </row>
    <row r="91" spans="1:16" ht="15" hidden="1" customHeight="1" x14ac:dyDescent="0.25">
      <c r="A91" s="16"/>
      <c r="B91" s="21" t="s">
        <v>123</v>
      </c>
      <c r="C91" s="21"/>
      <c r="D91" s="100"/>
      <c r="E91" s="100"/>
      <c r="F91" s="100"/>
      <c r="G91" s="21">
        <v>1781436</v>
      </c>
      <c r="H91" s="100"/>
      <c r="I91" s="100"/>
      <c r="J91" s="100"/>
      <c r="K91" s="100"/>
      <c r="L91" s="100"/>
      <c r="M91" s="21">
        <v>-1781436</v>
      </c>
      <c r="N91" s="21"/>
      <c r="O91" s="21">
        <f t="shared" si="7"/>
        <v>0</v>
      </c>
      <c r="P91" s="99"/>
    </row>
    <row r="92" spans="1:16" ht="15" hidden="1" customHeight="1" x14ac:dyDescent="0.25">
      <c r="A92" s="16"/>
      <c r="B92" s="21" t="s">
        <v>124</v>
      </c>
      <c r="C92" s="21"/>
      <c r="D92" s="100"/>
      <c r="E92" s="100"/>
      <c r="F92" s="100"/>
      <c r="G92" s="100"/>
      <c r="H92" s="21">
        <v>6868872</v>
      </c>
      <c r="I92" s="100"/>
      <c r="J92" s="100"/>
      <c r="K92" s="100"/>
      <c r="L92" s="100"/>
      <c r="M92" s="21">
        <v>-6868872</v>
      </c>
      <c r="N92" s="21"/>
      <c r="O92" s="21">
        <f t="shared" si="7"/>
        <v>0</v>
      </c>
      <c r="P92" s="99"/>
    </row>
    <row r="93" spans="1:16" ht="15" hidden="1" customHeight="1" x14ac:dyDescent="0.25">
      <c r="A93" s="16"/>
      <c r="B93" s="21" t="s">
        <v>136</v>
      </c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>
        <v>-5531200</v>
      </c>
      <c r="N93" s="21"/>
      <c r="O93" s="21">
        <f t="shared" si="7"/>
        <v>-5531200</v>
      </c>
      <c r="P93" s="101"/>
    </row>
    <row r="94" spans="1:16" ht="15" hidden="1" customHeight="1" x14ac:dyDescent="0.25">
      <c r="A94" s="16"/>
      <c r="B94" s="21" t="s">
        <v>137</v>
      </c>
      <c r="C94" s="21"/>
      <c r="D94" s="21"/>
      <c r="E94" s="21"/>
      <c r="F94" s="21"/>
      <c r="G94" s="21"/>
      <c r="H94" s="21"/>
      <c r="I94" s="21"/>
      <c r="J94" s="21"/>
      <c r="K94" s="21">
        <v>-15790311</v>
      </c>
      <c r="L94" s="21"/>
      <c r="M94" s="21">
        <v>-6744604</v>
      </c>
      <c r="N94" s="21"/>
      <c r="O94" s="21">
        <f t="shared" si="7"/>
        <v>-22534915</v>
      </c>
      <c r="P94" s="104"/>
    </row>
    <row r="95" spans="1:16" ht="15" hidden="1" customHeight="1" x14ac:dyDescent="0.25">
      <c r="A95" s="16"/>
      <c r="B95" s="21" t="s">
        <v>131</v>
      </c>
      <c r="C95" s="21"/>
      <c r="D95" s="21"/>
      <c r="E95" s="21"/>
      <c r="F95" s="21"/>
      <c r="G95" s="21"/>
      <c r="H95" s="21"/>
      <c r="I95" s="21"/>
      <c r="J95" s="21"/>
      <c r="K95" s="21">
        <v>14702613</v>
      </c>
      <c r="L95" s="21"/>
      <c r="M95" s="21">
        <v>-14702613</v>
      </c>
      <c r="N95" s="21"/>
      <c r="O95" s="21">
        <f t="shared" si="7"/>
        <v>0</v>
      </c>
      <c r="P95" s="104"/>
    </row>
    <row r="96" spans="1:16" ht="15" hidden="1" customHeight="1" x14ac:dyDescent="0.25">
      <c r="A96" s="16"/>
      <c r="B96" s="21"/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104"/>
    </row>
    <row r="97" spans="1:16" ht="15" hidden="1" customHeight="1" x14ac:dyDescent="0.25">
      <c r="A97" s="16" t="s">
        <v>138</v>
      </c>
      <c r="B97" s="100"/>
      <c r="C97" s="100"/>
      <c r="D97" s="103">
        <f>SUM(D83:D95)</f>
        <v>79988740</v>
      </c>
      <c r="E97" s="100"/>
      <c r="F97" s="100"/>
      <c r="G97" s="103">
        <f>SUM(G83:G95)</f>
        <v>13064869</v>
      </c>
      <c r="H97" s="103">
        <f>SUM(H83:H95)</f>
        <v>6868872</v>
      </c>
      <c r="I97" s="103">
        <f>SUM(I84:I95)</f>
        <v>0</v>
      </c>
      <c r="J97" s="100"/>
      <c r="K97" s="103">
        <f>SUM(K83:K95)</f>
        <v>14702613</v>
      </c>
      <c r="L97" s="100"/>
      <c r="M97" s="103">
        <f>SUM(M83:M95)</f>
        <v>0</v>
      </c>
      <c r="N97" s="100"/>
      <c r="O97" s="103">
        <f>SUM(O83:O95)</f>
        <v>114625094</v>
      </c>
      <c r="P97" s="99"/>
    </row>
    <row r="98" spans="1:16" ht="15" hidden="1" customHeight="1" x14ac:dyDescent="0.25">
      <c r="A98" s="16"/>
      <c r="B98" s="100"/>
      <c r="C98" s="100"/>
      <c r="D98" s="100"/>
      <c r="E98" s="100"/>
      <c r="F98" s="100"/>
      <c r="G98" s="100"/>
      <c r="H98" s="100"/>
      <c r="I98" s="100"/>
      <c r="J98" s="100"/>
      <c r="K98" s="100"/>
      <c r="L98" s="100"/>
      <c r="M98" s="100"/>
      <c r="N98" s="100"/>
      <c r="O98" s="100"/>
      <c r="P98" s="99"/>
    </row>
    <row r="99" spans="1:16" ht="15" hidden="1" customHeight="1" x14ac:dyDescent="0.25">
      <c r="A99" s="17" t="s">
        <v>139</v>
      </c>
      <c r="B99" s="21"/>
      <c r="C99" s="21"/>
      <c r="D99" s="21"/>
      <c r="E99" s="21"/>
      <c r="F99" s="21"/>
      <c r="G99" s="21"/>
      <c r="H99" s="21"/>
      <c r="I99" s="21"/>
      <c r="J99" s="21"/>
      <c r="K99" s="21">
        <v>-14702613</v>
      </c>
      <c r="L99" s="100"/>
      <c r="M99" s="100"/>
      <c r="N99" s="100"/>
      <c r="O99" s="21">
        <f>SUM(D99:M99)</f>
        <v>-14702613</v>
      </c>
      <c r="P99" s="99"/>
    </row>
    <row r="100" spans="1:16" ht="15" hidden="1" customHeight="1" x14ac:dyDescent="0.25">
      <c r="A100" s="16"/>
      <c r="B100" s="100"/>
      <c r="C100" s="100"/>
      <c r="D100" s="100"/>
      <c r="E100" s="100"/>
      <c r="F100" s="100"/>
      <c r="G100" s="100"/>
      <c r="H100" s="100"/>
      <c r="I100" s="100"/>
      <c r="J100" s="100"/>
      <c r="K100" s="100"/>
      <c r="L100" s="100"/>
      <c r="M100" s="100"/>
      <c r="N100" s="100"/>
      <c r="O100" s="21"/>
      <c r="P100" s="99"/>
    </row>
    <row r="101" spans="1:16" ht="15" hidden="1" customHeight="1" x14ac:dyDescent="0.25">
      <c r="A101" s="16" t="s">
        <v>117</v>
      </c>
      <c r="B101" s="21"/>
      <c r="C101" s="21"/>
      <c r="D101" s="21"/>
      <c r="E101" s="21"/>
      <c r="F101" s="100"/>
      <c r="G101" s="100"/>
      <c r="H101" s="21"/>
      <c r="I101" s="100"/>
      <c r="J101" s="100"/>
      <c r="K101" s="100"/>
      <c r="L101" s="100"/>
      <c r="M101" s="100">
        <v>0</v>
      </c>
      <c r="N101" s="100"/>
      <c r="O101" s="21">
        <f>SUM(D101:M101)</f>
        <v>0</v>
      </c>
      <c r="P101" s="101"/>
    </row>
    <row r="102" spans="1:16" ht="15" hidden="1" customHeight="1" x14ac:dyDescent="0.25">
      <c r="A102" s="17"/>
      <c r="B102" s="21" t="s">
        <v>129</v>
      </c>
      <c r="C102" s="21"/>
      <c r="D102" s="21">
        <v>6868872</v>
      </c>
      <c r="E102" s="21"/>
      <c r="F102" s="100"/>
      <c r="G102" s="100"/>
      <c r="H102" s="21">
        <f>-D102</f>
        <v>-6868872</v>
      </c>
      <c r="I102" s="100"/>
      <c r="J102" s="100"/>
      <c r="K102" s="100"/>
      <c r="L102" s="100"/>
      <c r="M102" s="21">
        <v>0</v>
      </c>
      <c r="N102" s="21"/>
      <c r="O102" s="21">
        <f>SUM(D102:M102)</f>
        <v>0</v>
      </c>
      <c r="P102" s="101"/>
    </row>
    <row r="103" spans="1:16" ht="15" hidden="1" customHeight="1" x14ac:dyDescent="0.25">
      <c r="A103" s="17"/>
      <c r="B103" s="21"/>
      <c r="C103" s="21"/>
      <c r="D103" s="21"/>
      <c r="E103" s="21"/>
      <c r="F103" s="100"/>
      <c r="G103" s="100"/>
      <c r="H103" s="21"/>
      <c r="I103" s="100"/>
      <c r="J103" s="100"/>
      <c r="K103" s="100"/>
      <c r="L103" s="100"/>
      <c r="M103" s="21"/>
      <c r="N103" s="21"/>
      <c r="O103" s="21"/>
      <c r="P103" s="101"/>
    </row>
    <row r="104" spans="1:16" ht="15" hidden="1" customHeight="1" x14ac:dyDescent="0.25">
      <c r="A104" s="16" t="s">
        <v>119</v>
      </c>
      <c r="B104" s="100"/>
      <c r="C104" s="100"/>
      <c r="D104" s="100"/>
      <c r="E104" s="100"/>
      <c r="F104" s="100"/>
      <c r="G104" s="100"/>
      <c r="H104" s="100"/>
      <c r="I104" s="100"/>
      <c r="J104" s="100"/>
      <c r="K104" s="100"/>
      <c r="L104" s="100"/>
      <c r="M104" s="21">
        <v>33703170</v>
      </c>
      <c r="N104" s="21"/>
      <c r="O104" s="21">
        <f>SUM(D104:M104)</f>
        <v>33703170</v>
      </c>
      <c r="P104" s="101"/>
    </row>
    <row r="105" spans="1:16" ht="15" hidden="1" customHeight="1" x14ac:dyDescent="0.25">
      <c r="A105" s="16"/>
      <c r="B105" s="100"/>
      <c r="C105" s="100"/>
      <c r="D105" s="100"/>
      <c r="E105" s="100"/>
      <c r="F105" s="100"/>
      <c r="G105" s="100"/>
      <c r="H105" s="100"/>
      <c r="I105" s="100"/>
      <c r="J105" s="100"/>
      <c r="K105" s="100"/>
      <c r="L105" s="100"/>
      <c r="M105" s="21"/>
      <c r="N105" s="21"/>
      <c r="O105" s="21"/>
      <c r="P105" s="101"/>
    </row>
    <row r="106" spans="1:16" ht="15" hidden="1" customHeight="1" x14ac:dyDescent="0.25">
      <c r="A106" s="16" t="s">
        <v>122</v>
      </c>
      <c r="B106" s="100"/>
      <c r="C106" s="100"/>
      <c r="D106" s="100"/>
      <c r="E106" s="100"/>
      <c r="F106" s="100"/>
      <c r="G106" s="100"/>
      <c r="H106" s="100"/>
      <c r="I106" s="100"/>
      <c r="J106" s="100"/>
      <c r="K106" s="100"/>
      <c r="L106" s="100"/>
      <c r="M106" s="21">
        <v>0</v>
      </c>
      <c r="N106" s="21"/>
      <c r="O106" s="21">
        <f t="shared" ref="O106:O111" si="8">SUM(D106:M106)</f>
        <v>0</v>
      </c>
      <c r="P106" s="101"/>
    </row>
    <row r="107" spans="1:16" ht="15" hidden="1" customHeight="1" x14ac:dyDescent="0.25">
      <c r="A107" s="16"/>
      <c r="B107" s="21" t="s">
        <v>123</v>
      </c>
      <c r="C107" s="21"/>
      <c r="D107" s="100"/>
      <c r="E107" s="100"/>
      <c r="F107" s="100"/>
      <c r="G107" s="21">
        <v>1685158</v>
      </c>
      <c r="H107" s="100"/>
      <c r="I107" s="100"/>
      <c r="J107" s="100"/>
      <c r="K107" s="100"/>
      <c r="L107" s="100"/>
      <c r="M107" s="21">
        <v>-1685158</v>
      </c>
      <c r="N107" s="21"/>
      <c r="O107" s="21">
        <f t="shared" si="8"/>
        <v>0</v>
      </c>
      <c r="P107" s="99"/>
    </row>
    <row r="108" spans="1:16" ht="15" hidden="1" customHeight="1" x14ac:dyDescent="0.25">
      <c r="A108" s="16"/>
      <c r="B108" s="21" t="s">
        <v>124</v>
      </c>
      <c r="C108" s="21"/>
      <c r="D108" s="100"/>
      <c r="E108" s="100"/>
      <c r="F108" s="100"/>
      <c r="G108" s="100"/>
      <c r="H108" s="21">
        <v>6260542</v>
      </c>
      <c r="I108" s="100"/>
      <c r="J108" s="100"/>
      <c r="K108" s="100"/>
      <c r="L108" s="100"/>
      <c r="M108" s="21">
        <v>-6260542</v>
      </c>
      <c r="N108" s="21"/>
      <c r="O108" s="21">
        <f t="shared" si="8"/>
        <v>0</v>
      </c>
      <c r="P108" s="99"/>
    </row>
    <row r="109" spans="1:16" ht="15" hidden="1" customHeight="1" x14ac:dyDescent="0.25">
      <c r="A109" s="16"/>
      <c r="B109" s="21" t="s">
        <v>136</v>
      </c>
      <c r="C109" s="21"/>
      <c r="D109" s="21"/>
      <c r="E109" s="21"/>
      <c r="F109" s="21"/>
      <c r="G109" s="21"/>
      <c r="H109" s="21"/>
      <c r="I109" s="21"/>
      <c r="J109" s="21"/>
      <c r="K109" s="21"/>
      <c r="L109" s="21"/>
      <c r="M109" s="21">
        <v>-5863538</v>
      </c>
      <c r="N109" s="21"/>
      <c r="O109" s="21">
        <f t="shared" si="8"/>
        <v>-5863538</v>
      </c>
      <c r="P109" s="101"/>
    </row>
    <row r="110" spans="1:16" ht="15" hidden="1" customHeight="1" x14ac:dyDescent="0.25">
      <c r="A110" s="16"/>
      <c r="B110" s="21" t="s">
        <v>137</v>
      </c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1">
        <v>-575830</v>
      </c>
      <c r="N110" s="21"/>
      <c r="O110" s="21">
        <f t="shared" si="8"/>
        <v>-575830</v>
      </c>
      <c r="P110" s="104"/>
    </row>
    <row r="111" spans="1:16" ht="15" hidden="1" customHeight="1" x14ac:dyDescent="0.25">
      <c r="A111" s="16"/>
      <c r="B111" s="21" t="s">
        <v>131</v>
      </c>
      <c r="C111" s="21"/>
      <c r="D111" s="21"/>
      <c r="E111" s="21"/>
      <c r="F111" s="21"/>
      <c r="G111" s="21"/>
      <c r="H111" s="21"/>
      <c r="I111" s="21"/>
      <c r="J111" s="21"/>
      <c r="K111" s="21">
        <v>19318102</v>
      </c>
      <c r="L111" s="21"/>
      <c r="M111" s="21">
        <v>-19318102</v>
      </c>
      <c r="N111" s="21"/>
      <c r="O111" s="21">
        <f t="shared" si="8"/>
        <v>0</v>
      </c>
      <c r="P111" s="104"/>
    </row>
    <row r="112" spans="1:16" ht="15" hidden="1" customHeight="1" x14ac:dyDescent="0.25">
      <c r="A112" s="16"/>
      <c r="B112" s="21"/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104"/>
    </row>
    <row r="113" spans="1:16" ht="15" hidden="1" customHeight="1" x14ac:dyDescent="0.25">
      <c r="A113" s="16" t="s">
        <v>140</v>
      </c>
      <c r="B113" s="100"/>
      <c r="C113" s="100"/>
      <c r="D113" s="103">
        <f>SUM(D97:D111)</f>
        <v>86857612</v>
      </c>
      <c r="E113" s="100"/>
      <c r="F113" s="100"/>
      <c r="G113" s="103">
        <f>SUM(G97:G111)</f>
        <v>14750027</v>
      </c>
      <c r="H113" s="103">
        <f>SUM(H97:H111)</f>
        <v>6260542</v>
      </c>
      <c r="I113" s="103">
        <f>SUM(I99:I111)</f>
        <v>0</v>
      </c>
      <c r="J113" s="100"/>
      <c r="K113" s="103">
        <f>SUM(K97:K111)</f>
        <v>19318102</v>
      </c>
      <c r="L113" s="100"/>
      <c r="M113" s="103">
        <f>SUM(M97:M111)</f>
        <v>0</v>
      </c>
      <c r="N113" s="100"/>
      <c r="O113" s="103">
        <f>SUM(O97:O111)</f>
        <v>127186283</v>
      </c>
      <c r="P113" s="104"/>
    </row>
    <row r="114" spans="1:16" ht="15" hidden="1" customHeight="1" x14ac:dyDescent="0.25">
      <c r="A114" s="16"/>
      <c r="B114" s="100"/>
      <c r="C114" s="100"/>
      <c r="D114" s="100"/>
      <c r="E114" s="100"/>
      <c r="F114" s="100"/>
      <c r="G114" s="100"/>
      <c r="H114" s="100"/>
      <c r="I114" s="100"/>
      <c r="J114" s="100"/>
      <c r="K114" s="100"/>
      <c r="L114" s="100"/>
      <c r="M114" s="100"/>
      <c r="N114" s="100"/>
      <c r="O114" s="100"/>
      <c r="P114" s="99"/>
    </row>
    <row r="115" spans="1:16" ht="15" hidden="1" customHeight="1" x14ac:dyDescent="0.25">
      <c r="A115" s="17" t="s">
        <v>139</v>
      </c>
      <c r="B115" s="21"/>
      <c r="C115" s="21"/>
      <c r="D115" s="21"/>
      <c r="E115" s="21"/>
      <c r="F115" s="21"/>
      <c r="G115" s="21"/>
      <c r="H115" s="21"/>
      <c r="I115" s="21"/>
      <c r="J115" s="21"/>
      <c r="K115" s="21">
        <v>-19318102</v>
      </c>
      <c r="L115" s="100"/>
      <c r="M115" s="100"/>
      <c r="N115" s="100"/>
      <c r="O115" s="21">
        <f>SUM(D115:M115)</f>
        <v>-19318102</v>
      </c>
      <c r="P115" s="99"/>
    </row>
    <row r="116" spans="1:16" ht="8.25" hidden="1" customHeight="1" x14ac:dyDescent="0.25">
      <c r="A116" s="16"/>
      <c r="B116" s="100"/>
      <c r="C116" s="100"/>
      <c r="D116" s="100"/>
      <c r="E116" s="100"/>
      <c r="F116" s="100"/>
      <c r="G116" s="100"/>
      <c r="H116" s="100"/>
      <c r="I116" s="100"/>
      <c r="J116" s="100"/>
      <c r="K116" s="100"/>
      <c r="L116" s="100"/>
      <c r="M116" s="100"/>
      <c r="N116" s="100"/>
      <c r="O116" s="100"/>
      <c r="P116" s="99"/>
    </row>
    <row r="117" spans="1:16" ht="15" hidden="1" customHeight="1" x14ac:dyDescent="0.25">
      <c r="A117" s="16" t="s">
        <v>117</v>
      </c>
      <c r="B117" s="21"/>
      <c r="C117" s="21"/>
      <c r="D117" s="21"/>
      <c r="E117" s="21"/>
      <c r="F117" s="100"/>
      <c r="G117" s="100"/>
      <c r="H117" s="21"/>
      <c r="I117" s="100"/>
      <c r="J117" s="100"/>
      <c r="K117" s="100"/>
      <c r="L117" s="100"/>
      <c r="M117" s="100">
        <v>0</v>
      </c>
      <c r="N117" s="100"/>
      <c r="O117" s="21">
        <f>SUM(D117:M117)</f>
        <v>0</v>
      </c>
      <c r="P117" s="101"/>
    </row>
    <row r="118" spans="1:16" ht="15" hidden="1" customHeight="1" x14ac:dyDescent="0.25">
      <c r="A118" s="17"/>
      <c r="B118" s="21" t="s">
        <v>129</v>
      </c>
      <c r="C118" s="21"/>
      <c r="D118" s="21">
        <v>6260542</v>
      </c>
      <c r="E118" s="21"/>
      <c r="F118" s="100"/>
      <c r="G118" s="100"/>
      <c r="H118" s="21">
        <f>-D118</f>
        <v>-6260542</v>
      </c>
      <c r="I118" s="100"/>
      <c r="J118" s="100"/>
      <c r="K118" s="100"/>
      <c r="L118" s="100"/>
      <c r="M118" s="21">
        <v>0</v>
      </c>
      <c r="N118" s="21"/>
      <c r="O118" s="21">
        <f>SUM(D118:M118)</f>
        <v>0</v>
      </c>
      <c r="P118" s="101"/>
    </row>
    <row r="119" spans="1:16" ht="6.75" hidden="1" customHeight="1" x14ac:dyDescent="0.25">
      <c r="A119" s="17"/>
      <c r="B119" s="21"/>
      <c r="C119" s="21"/>
      <c r="D119" s="21"/>
      <c r="E119" s="21"/>
      <c r="F119" s="100"/>
      <c r="G119" s="100"/>
      <c r="H119" s="21"/>
      <c r="I119" s="100"/>
      <c r="J119" s="100"/>
      <c r="K119" s="100"/>
      <c r="L119" s="100"/>
      <c r="M119" s="21"/>
      <c r="N119" s="21"/>
      <c r="O119" s="21"/>
      <c r="P119" s="101"/>
    </row>
    <row r="120" spans="1:16" ht="15" hidden="1" customHeight="1" x14ac:dyDescent="0.25">
      <c r="A120" s="16" t="s">
        <v>119</v>
      </c>
      <c r="B120" s="100"/>
      <c r="C120" s="100"/>
      <c r="D120" s="100"/>
      <c r="E120" s="100"/>
      <c r="F120" s="100"/>
      <c r="G120" s="100"/>
      <c r="H120" s="100"/>
      <c r="I120" s="100"/>
      <c r="J120" s="100"/>
      <c r="K120" s="100"/>
      <c r="L120" s="100"/>
      <c r="M120" s="21">
        <v>45268892</v>
      </c>
      <c r="N120" s="21"/>
      <c r="O120" s="21">
        <f>SUM(D120:M120)</f>
        <v>45268892</v>
      </c>
      <c r="P120" s="101"/>
    </row>
    <row r="121" spans="1:16" ht="7.5" hidden="1" customHeight="1" x14ac:dyDescent="0.25">
      <c r="A121" s="16"/>
      <c r="B121" s="100"/>
      <c r="C121" s="100"/>
      <c r="D121" s="100"/>
      <c r="E121" s="100"/>
      <c r="F121" s="100"/>
      <c r="G121" s="100"/>
      <c r="H121" s="100"/>
      <c r="I121" s="100"/>
      <c r="J121" s="100"/>
      <c r="K121" s="100"/>
      <c r="L121" s="100"/>
      <c r="M121" s="21"/>
      <c r="N121" s="21"/>
      <c r="O121" s="21"/>
      <c r="P121" s="101"/>
    </row>
    <row r="122" spans="1:16" ht="15" hidden="1" customHeight="1" x14ac:dyDescent="0.25">
      <c r="A122" s="16" t="s">
        <v>122</v>
      </c>
      <c r="B122" s="100"/>
      <c r="C122" s="100"/>
      <c r="D122" s="100"/>
      <c r="E122" s="100"/>
      <c r="F122" s="100"/>
      <c r="G122" s="100"/>
      <c r="H122" s="100"/>
      <c r="I122" s="100"/>
      <c r="J122" s="100"/>
      <c r="K122" s="100"/>
      <c r="L122" s="100"/>
      <c r="M122" s="21">
        <v>0</v>
      </c>
      <c r="N122" s="21"/>
      <c r="O122" s="21">
        <f t="shared" ref="O122:O127" si="9">SUM(D122:M122)</f>
        <v>0</v>
      </c>
      <c r="P122" s="101"/>
    </row>
    <row r="123" spans="1:16" ht="15" hidden="1" customHeight="1" x14ac:dyDescent="0.25">
      <c r="A123" s="16"/>
      <c r="B123" s="21" t="s">
        <v>123</v>
      </c>
      <c r="C123" s="21"/>
      <c r="D123" s="100"/>
      <c r="E123" s="100"/>
      <c r="F123" s="100"/>
      <c r="G123" s="21">
        <v>2263445</v>
      </c>
      <c r="H123" s="100"/>
      <c r="I123" s="100"/>
      <c r="J123" s="100"/>
      <c r="K123" s="100"/>
      <c r="L123" s="100"/>
      <c r="M123" s="21">
        <v>-2263445</v>
      </c>
      <c r="N123" s="21"/>
      <c r="O123" s="21">
        <f t="shared" si="9"/>
        <v>0</v>
      </c>
      <c r="P123" s="99"/>
    </row>
    <row r="124" spans="1:16" ht="15" hidden="1" customHeight="1" x14ac:dyDescent="0.25">
      <c r="A124" s="16"/>
      <c r="B124" s="21" t="s">
        <v>124</v>
      </c>
      <c r="C124" s="21"/>
      <c r="D124" s="100"/>
      <c r="E124" s="100"/>
      <c r="F124" s="100"/>
      <c r="G124" s="100"/>
      <c r="H124" s="21">
        <v>8745180</v>
      </c>
      <c r="I124" s="100"/>
      <c r="J124" s="100"/>
      <c r="K124" s="100"/>
      <c r="L124" s="100"/>
      <c r="M124" s="21">
        <v>-8745180</v>
      </c>
      <c r="N124" s="21"/>
      <c r="O124" s="21">
        <f t="shared" si="9"/>
        <v>0</v>
      </c>
      <c r="P124" s="99"/>
    </row>
    <row r="125" spans="1:16" ht="15" hidden="1" customHeight="1" x14ac:dyDescent="0.25">
      <c r="A125" s="16"/>
      <c r="B125" s="21" t="s">
        <v>136</v>
      </c>
      <c r="C125" s="21"/>
      <c r="D125" s="21"/>
      <c r="E125" s="21"/>
      <c r="F125" s="21"/>
      <c r="G125" s="21"/>
      <c r="H125" s="21"/>
      <c r="I125" s="21"/>
      <c r="J125" s="21"/>
      <c r="K125" s="21"/>
      <c r="L125" s="21"/>
      <c r="M125" s="21">
        <v>-6740175</v>
      </c>
      <c r="N125" s="21"/>
      <c r="O125" s="21">
        <f t="shared" si="9"/>
        <v>-6740175</v>
      </c>
      <c r="P125" s="101"/>
    </row>
    <row r="126" spans="1:16" ht="15" hidden="1" customHeight="1" x14ac:dyDescent="0.25">
      <c r="A126" s="16"/>
      <c r="B126" s="21" t="s">
        <v>137</v>
      </c>
      <c r="C126" s="21"/>
      <c r="D126" s="21"/>
      <c r="E126" s="21"/>
      <c r="F126" s="21"/>
      <c r="G126" s="21"/>
      <c r="H126" s="21"/>
      <c r="I126" s="21"/>
      <c r="J126" s="21"/>
      <c r="K126" s="21"/>
      <c r="L126" s="21"/>
      <c r="M126" s="21">
        <v>-4333023</v>
      </c>
      <c r="N126" s="21"/>
      <c r="O126" s="21">
        <f t="shared" si="9"/>
        <v>-4333023</v>
      </c>
      <c r="P126" s="104"/>
    </row>
    <row r="127" spans="1:16" ht="15" hidden="1" customHeight="1" x14ac:dyDescent="0.25">
      <c r="A127" s="16"/>
      <c r="B127" s="21" t="s">
        <v>131</v>
      </c>
      <c r="C127" s="21"/>
      <c r="D127" s="21"/>
      <c r="E127" s="21"/>
      <c r="F127" s="21"/>
      <c r="G127" s="21"/>
      <c r="H127" s="21"/>
      <c r="I127" s="21"/>
      <c r="J127" s="21"/>
      <c r="K127" s="21">
        <v>23187069</v>
      </c>
      <c r="L127" s="21"/>
      <c r="M127" s="21">
        <v>-23187069</v>
      </c>
      <c r="N127" s="21"/>
      <c r="O127" s="21">
        <f t="shared" si="9"/>
        <v>0</v>
      </c>
      <c r="P127" s="104"/>
    </row>
    <row r="128" spans="1:16" ht="9.75" hidden="1" customHeight="1" x14ac:dyDescent="0.25">
      <c r="A128" s="16"/>
      <c r="B128" s="21"/>
      <c r="C128" s="21"/>
      <c r="D128" s="21"/>
      <c r="E128" s="21"/>
      <c r="F128" s="21"/>
      <c r="G128" s="21"/>
      <c r="H128" s="21"/>
      <c r="I128" s="21"/>
      <c r="J128" s="21"/>
      <c r="K128" s="21"/>
      <c r="L128" s="21"/>
      <c r="M128" s="21"/>
      <c r="N128" s="21"/>
      <c r="O128" s="21"/>
      <c r="P128" s="104"/>
    </row>
    <row r="129" spans="1:16" ht="15" hidden="1" customHeight="1" x14ac:dyDescent="0.25">
      <c r="A129" s="16" t="s">
        <v>141</v>
      </c>
      <c r="B129" s="100"/>
      <c r="C129" s="100"/>
      <c r="D129" s="103">
        <f>ROUND(101863334/1000,0)</f>
        <v>101863</v>
      </c>
      <c r="E129" s="100"/>
      <c r="F129" s="100"/>
      <c r="G129" s="103">
        <f>ROUND(20090535/1000,0)</f>
        <v>20091</v>
      </c>
      <c r="H129" s="103">
        <f>ROUND(11919140/1000,0)</f>
        <v>11919</v>
      </c>
      <c r="I129" s="103">
        <v>0</v>
      </c>
      <c r="J129" s="100"/>
      <c r="K129" s="103">
        <f>ROUND(32277925/1000,0)</f>
        <v>32278</v>
      </c>
      <c r="L129" s="100"/>
      <c r="M129" s="103">
        <v>0</v>
      </c>
      <c r="N129" s="100"/>
      <c r="O129" s="103">
        <f>M129+K129+H129+G129+D129</f>
        <v>166151</v>
      </c>
      <c r="P129" s="104"/>
    </row>
    <row r="130" spans="1:16" ht="15" hidden="1" customHeight="1" x14ac:dyDescent="0.25">
      <c r="A130" s="16"/>
      <c r="B130" s="100"/>
      <c r="C130" s="100"/>
      <c r="D130" s="100"/>
      <c r="E130" s="100"/>
      <c r="F130" s="100"/>
      <c r="G130" s="100"/>
      <c r="H130" s="100"/>
      <c r="I130" s="100"/>
      <c r="J130" s="100"/>
      <c r="K130" s="100"/>
      <c r="L130" s="100"/>
      <c r="M130" s="100"/>
      <c r="N130" s="100"/>
      <c r="O130" s="100"/>
      <c r="P130" s="99"/>
    </row>
    <row r="131" spans="1:16" ht="15" hidden="1" customHeight="1" x14ac:dyDescent="0.25">
      <c r="A131" s="17" t="s">
        <v>139</v>
      </c>
      <c r="B131" s="21"/>
      <c r="C131" s="22" t="s">
        <v>142</v>
      </c>
      <c r="D131" s="21"/>
      <c r="E131" s="21"/>
      <c r="F131" s="21"/>
      <c r="G131" s="21"/>
      <c r="H131" s="21"/>
      <c r="I131" s="21"/>
      <c r="J131" s="21"/>
      <c r="K131" s="21">
        <f>ROUND(-32277925/1000,0)</f>
        <v>-32278</v>
      </c>
      <c r="L131" s="100"/>
      <c r="M131" s="100">
        <v>0</v>
      </c>
      <c r="N131" s="100"/>
      <c r="O131" s="21">
        <f>SUM(D131:M131)</f>
        <v>-32278</v>
      </c>
      <c r="P131" s="99"/>
    </row>
    <row r="132" spans="1:16" ht="8.25" hidden="1" customHeight="1" x14ac:dyDescent="0.25">
      <c r="A132" s="16"/>
      <c r="B132" s="100"/>
      <c r="C132" s="100"/>
      <c r="D132" s="100"/>
      <c r="E132" s="100"/>
      <c r="F132" s="100"/>
      <c r="G132" s="100"/>
      <c r="H132" s="100"/>
      <c r="I132" s="100"/>
      <c r="J132" s="100"/>
      <c r="K132" s="100"/>
      <c r="L132" s="100"/>
      <c r="M132" s="100"/>
      <c r="N132" s="100"/>
      <c r="O132" s="100"/>
      <c r="P132" s="99"/>
    </row>
    <row r="133" spans="1:16" ht="15" hidden="1" customHeight="1" x14ac:dyDescent="0.25">
      <c r="A133" s="16" t="s">
        <v>117</v>
      </c>
      <c r="B133" s="21"/>
      <c r="C133" s="21"/>
      <c r="D133" s="21"/>
      <c r="E133" s="21"/>
      <c r="F133" s="100"/>
      <c r="G133" s="100"/>
      <c r="H133" s="21"/>
      <c r="I133" s="100"/>
      <c r="J133" s="100"/>
      <c r="K133" s="100"/>
      <c r="L133" s="100"/>
      <c r="M133" s="100">
        <v>0</v>
      </c>
      <c r="N133" s="100"/>
      <c r="O133" s="21">
        <f>SUM(D133:M133)</f>
        <v>0</v>
      </c>
      <c r="P133" s="101"/>
    </row>
    <row r="134" spans="1:16" ht="15" hidden="1" customHeight="1" x14ac:dyDescent="0.25">
      <c r="A134" s="17"/>
      <c r="B134" s="21" t="s">
        <v>143</v>
      </c>
      <c r="C134" s="22" t="s">
        <v>78</v>
      </c>
      <c r="D134" s="21">
        <f>ROUND(11919141/1000,0)</f>
        <v>11919</v>
      </c>
      <c r="E134" s="21"/>
      <c r="F134" s="100"/>
      <c r="G134" s="100"/>
      <c r="H134" s="21">
        <f>ROUND(-11919141/1000,0)</f>
        <v>-11919</v>
      </c>
      <c r="I134" s="100"/>
      <c r="J134" s="100"/>
      <c r="K134" s="100"/>
      <c r="L134" s="100"/>
      <c r="M134" s="21">
        <v>0</v>
      </c>
      <c r="N134" s="21"/>
      <c r="O134" s="21">
        <f>SUM(D134:M134)</f>
        <v>0</v>
      </c>
      <c r="P134" s="101"/>
    </row>
    <row r="135" spans="1:16" ht="6.75" hidden="1" customHeight="1" x14ac:dyDescent="0.25">
      <c r="A135" s="17"/>
      <c r="B135" s="21"/>
      <c r="C135" s="21"/>
      <c r="D135" s="21"/>
      <c r="E135" s="21"/>
      <c r="F135" s="100"/>
      <c r="G135" s="100"/>
      <c r="H135" s="21"/>
      <c r="I135" s="100"/>
      <c r="J135" s="100"/>
      <c r="K135" s="100"/>
      <c r="L135" s="100"/>
      <c r="M135" s="21"/>
      <c r="N135" s="21"/>
      <c r="O135" s="21"/>
      <c r="P135" s="101"/>
    </row>
    <row r="136" spans="1:16" ht="15" hidden="1" customHeight="1" x14ac:dyDescent="0.25">
      <c r="A136" s="16" t="s">
        <v>119</v>
      </c>
      <c r="B136" s="100"/>
      <c r="C136" s="22"/>
      <c r="D136" s="100"/>
      <c r="E136" s="100"/>
      <c r="F136" s="100"/>
      <c r="G136" s="100"/>
      <c r="H136" s="100"/>
      <c r="I136" s="100"/>
      <c r="J136" s="100"/>
      <c r="K136" s="100"/>
      <c r="L136" s="100"/>
      <c r="M136" s="21">
        <f>ROUND(61636759/1000,0)</f>
        <v>61637</v>
      </c>
      <c r="N136" s="21"/>
      <c r="O136" s="21">
        <f>SUM(D136:M136)</f>
        <v>61637</v>
      </c>
      <c r="P136" s="101"/>
    </row>
    <row r="137" spans="1:16" ht="7.5" hidden="1" customHeight="1" x14ac:dyDescent="0.25">
      <c r="A137" s="16"/>
      <c r="B137" s="100"/>
      <c r="C137" s="100"/>
      <c r="D137" s="100"/>
      <c r="E137" s="100"/>
      <c r="F137" s="100"/>
      <c r="G137" s="100"/>
      <c r="H137" s="100"/>
      <c r="I137" s="100"/>
      <c r="J137" s="100"/>
      <c r="K137" s="100"/>
      <c r="L137" s="100"/>
      <c r="M137" s="21"/>
      <c r="N137" s="21"/>
      <c r="O137" s="21"/>
      <c r="P137" s="101"/>
    </row>
    <row r="138" spans="1:16" ht="15" hidden="1" customHeight="1" x14ac:dyDescent="0.25">
      <c r="A138" s="16" t="s">
        <v>122</v>
      </c>
      <c r="B138" s="100"/>
      <c r="C138" s="22"/>
      <c r="D138" s="100"/>
      <c r="E138" s="100"/>
      <c r="F138" s="100"/>
      <c r="G138" s="100"/>
      <c r="H138" s="100"/>
      <c r="I138" s="100"/>
      <c r="J138" s="100"/>
      <c r="K138" s="100"/>
      <c r="L138" s="100"/>
      <c r="M138" s="21">
        <v>0</v>
      </c>
      <c r="N138" s="21"/>
      <c r="O138" s="21">
        <f t="shared" ref="O138:O142" si="10">SUM(D138:M138)</f>
        <v>0</v>
      </c>
      <c r="P138" s="101"/>
    </row>
    <row r="139" spans="1:16" ht="15" hidden="1" customHeight="1" x14ac:dyDescent="0.25">
      <c r="A139" s="16"/>
      <c r="B139" s="21" t="s">
        <v>144</v>
      </c>
      <c r="C139" s="22" t="s">
        <v>142</v>
      </c>
      <c r="D139" s="100">
        <v>0</v>
      </c>
      <c r="E139" s="100"/>
      <c r="F139" s="100"/>
      <c r="G139" s="21">
        <f>ROUND(2665960/1000,0)</f>
        <v>2666</v>
      </c>
      <c r="H139" s="100">
        <v>0</v>
      </c>
      <c r="I139" s="100"/>
      <c r="J139" s="100"/>
      <c r="K139" s="100">
        <v>0</v>
      </c>
      <c r="L139" s="100"/>
      <c r="M139" s="21">
        <f>ROUND(-2665960/1000,0)</f>
        <v>-2666</v>
      </c>
      <c r="N139" s="21"/>
      <c r="O139" s="21">
        <f t="shared" si="10"/>
        <v>0</v>
      </c>
      <c r="P139" s="99"/>
    </row>
    <row r="140" spans="1:16" ht="15" hidden="1" customHeight="1" x14ac:dyDescent="0.25">
      <c r="A140" s="16"/>
      <c r="B140" s="21" t="s">
        <v>145</v>
      </c>
      <c r="C140" s="22" t="s">
        <v>78</v>
      </c>
      <c r="D140" s="100">
        <v>0</v>
      </c>
      <c r="E140" s="100"/>
      <c r="F140" s="100"/>
      <c r="G140" s="100">
        <v>0</v>
      </c>
      <c r="H140" s="21">
        <f>ROUND(12288794/1000,0)</f>
        <v>12289</v>
      </c>
      <c r="I140" s="100"/>
      <c r="J140" s="100"/>
      <c r="K140" s="100">
        <v>0</v>
      </c>
      <c r="L140" s="100"/>
      <c r="M140" s="21">
        <f>ROUND(-12288794/1000,0)</f>
        <v>-12289</v>
      </c>
      <c r="N140" s="21"/>
      <c r="O140" s="21">
        <f t="shared" si="10"/>
        <v>0</v>
      </c>
      <c r="P140" s="99"/>
    </row>
    <row r="141" spans="1:16" ht="15" hidden="1" customHeight="1" x14ac:dyDescent="0.25">
      <c r="A141" s="16"/>
      <c r="B141" s="21" t="s">
        <v>146</v>
      </c>
      <c r="C141" s="22" t="s">
        <v>142</v>
      </c>
      <c r="D141" s="100">
        <v>0</v>
      </c>
      <c r="E141" s="21"/>
      <c r="F141" s="21"/>
      <c r="G141" s="100">
        <v>0</v>
      </c>
      <c r="H141" s="100">
        <v>0</v>
      </c>
      <c r="I141" s="21"/>
      <c r="J141" s="21"/>
      <c r="K141" s="100">
        <v>0</v>
      </c>
      <c r="L141" s="21"/>
      <c r="M141" s="21">
        <f>ROUND(-5657913/1000,0)</f>
        <v>-5658</v>
      </c>
      <c r="N141" s="21"/>
      <c r="O141" s="21">
        <f t="shared" si="10"/>
        <v>-5658</v>
      </c>
      <c r="P141" s="104"/>
    </row>
    <row r="142" spans="1:16" ht="15" hidden="1" customHeight="1" x14ac:dyDescent="0.25">
      <c r="A142" s="16"/>
      <c r="B142" s="21" t="s">
        <v>147</v>
      </c>
      <c r="C142" s="22" t="s">
        <v>142</v>
      </c>
      <c r="D142" s="100">
        <v>0</v>
      </c>
      <c r="E142" s="21"/>
      <c r="F142" s="21"/>
      <c r="G142" s="100">
        <v>0</v>
      </c>
      <c r="H142" s="100">
        <v>0</v>
      </c>
      <c r="I142" s="21"/>
      <c r="J142" s="21"/>
      <c r="K142" s="21">
        <f>ROUND(31485932/1000,0)</f>
        <v>31486</v>
      </c>
      <c r="L142" s="21"/>
      <c r="M142" s="21">
        <f>ROUND(-31485932/1000,0)</f>
        <v>-31486</v>
      </c>
      <c r="N142" s="21"/>
      <c r="O142" s="21">
        <f t="shared" si="10"/>
        <v>0</v>
      </c>
      <c r="P142" s="104"/>
    </row>
    <row r="143" spans="1:16" ht="15" hidden="1" customHeight="1" x14ac:dyDescent="0.25">
      <c r="A143" s="16"/>
      <c r="B143" s="21" t="s">
        <v>148</v>
      </c>
      <c r="C143" s="22" t="s">
        <v>142</v>
      </c>
      <c r="D143" s="100">
        <v>0</v>
      </c>
      <c r="E143" s="21"/>
      <c r="F143" s="21"/>
      <c r="G143" s="100">
        <v>0</v>
      </c>
      <c r="H143" s="100">
        <v>0</v>
      </c>
      <c r="I143" s="21"/>
      <c r="J143" s="21"/>
      <c r="K143" s="100">
        <v>0</v>
      </c>
      <c r="L143" s="21"/>
      <c r="M143" s="21">
        <f>ROUND(-9538160/1000,0)</f>
        <v>-9538</v>
      </c>
      <c r="N143" s="21"/>
      <c r="O143" s="21">
        <f>SUM(D143:M143)</f>
        <v>-9538</v>
      </c>
      <c r="P143" s="101"/>
    </row>
    <row r="144" spans="1:16" ht="9.75" hidden="1" customHeight="1" x14ac:dyDescent="0.25">
      <c r="A144" s="16"/>
      <c r="B144" s="21"/>
      <c r="C144" s="21"/>
      <c r="D144" s="21"/>
      <c r="E144" s="21"/>
      <c r="F144" s="21"/>
      <c r="G144" s="21"/>
      <c r="H144" s="21"/>
      <c r="I144" s="21"/>
      <c r="J144" s="21"/>
      <c r="K144" s="21"/>
      <c r="L144" s="21"/>
      <c r="M144" s="21"/>
      <c r="N144" s="21"/>
      <c r="O144" s="21"/>
      <c r="P144" s="104"/>
    </row>
    <row r="145" spans="1:25" ht="15" customHeight="1" x14ac:dyDescent="0.25">
      <c r="A145" s="16" t="s">
        <v>227</v>
      </c>
      <c r="B145" s="100"/>
      <c r="C145" s="100"/>
      <c r="D145" s="103">
        <v>136813</v>
      </c>
      <c r="E145" s="100"/>
      <c r="F145" s="100"/>
      <c r="G145" s="103">
        <v>27363</v>
      </c>
      <c r="H145" s="103">
        <v>12509</v>
      </c>
      <c r="I145" s="103">
        <v>0</v>
      </c>
      <c r="J145" s="100">
        <v>0</v>
      </c>
      <c r="K145" s="103">
        <v>29896</v>
      </c>
      <c r="L145" s="100">
        <v>0</v>
      </c>
      <c r="M145" s="103">
        <v>0</v>
      </c>
      <c r="N145" s="100">
        <v>0</v>
      </c>
      <c r="O145" s="103">
        <v>206581</v>
      </c>
      <c r="P145" s="104"/>
    </row>
    <row r="146" spans="1:25" ht="9" customHeight="1" x14ac:dyDescent="0.25">
      <c r="A146" s="16"/>
      <c r="B146" s="100"/>
      <c r="C146" s="100"/>
      <c r="D146" s="100"/>
      <c r="E146" s="100"/>
      <c r="F146" s="100"/>
      <c r="G146" s="100"/>
      <c r="H146" s="100"/>
      <c r="I146" s="100"/>
      <c r="J146" s="100"/>
      <c r="K146" s="100"/>
      <c r="L146" s="100"/>
      <c r="M146" s="100"/>
      <c r="N146" s="100"/>
      <c r="O146" s="100"/>
      <c r="P146" s="104"/>
    </row>
    <row r="147" spans="1:25" ht="6.75" customHeight="1" x14ac:dyDescent="0.25">
      <c r="A147" s="17"/>
      <c r="B147" s="21"/>
      <c r="C147" s="21"/>
      <c r="D147" s="21"/>
      <c r="E147" s="21"/>
      <c r="F147" s="100"/>
      <c r="G147" s="100"/>
      <c r="H147" s="21"/>
      <c r="I147" s="100"/>
      <c r="J147" s="100"/>
      <c r="K147" s="100"/>
      <c r="L147" s="100"/>
      <c r="M147" s="21"/>
      <c r="N147" s="21"/>
      <c r="O147" s="21"/>
      <c r="P147" s="101"/>
    </row>
    <row r="148" spans="1:25" ht="15" hidden="1" customHeight="1" x14ac:dyDescent="0.25">
      <c r="A148" s="17" t="s">
        <v>139</v>
      </c>
      <c r="B148" s="21"/>
      <c r="C148" s="22" t="s">
        <v>22</v>
      </c>
      <c r="D148" s="100">
        <v>0</v>
      </c>
      <c r="E148" s="100"/>
      <c r="F148" s="100"/>
      <c r="G148" s="100">
        <v>0</v>
      </c>
      <c r="H148" s="100">
        <v>0</v>
      </c>
      <c r="I148" s="100"/>
      <c r="J148" s="100"/>
      <c r="K148" s="21">
        <v>0</v>
      </c>
      <c r="L148" s="100"/>
      <c r="M148" s="100">
        <v>0</v>
      </c>
      <c r="N148" s="100"/>
      <c r="O148" s="21">
        <v>0</v>
      </c>
      <c r="P148" s="99"/>
    </row>
    <row r="149" spans="1:25" ht="8.25" customHeight="1" x14ac:dyDescent="0.25">
      <c r="A149" s="16"/>
      <c r="B149" s="100"/>
      <c r="C149" s="100"/>
      <c r="D149" s="100"/>
      <c r="E149" s="100"/>
      <c r="F149" s="100"/>
      <c r="G149" s="100"/>
      <c r="H149" s="100"/>
      <c r="I149" s="100"/>
      <c r="J149" s="100"/>
      <c r="K149" s="100"/>
      <c r="L149" s="100"/>
      <c r="M149" s="100"/>
      <c r="N149" s="100"/>
      <c r="O149" s="100"/>
      <c r="P149" s="99"/>
    </row>
    <row r="150" spans="1:25" ht="15" customHeight="1" x14ac:dyDescent="0.25">
      <c r="A150" s="16" t="s">
        <v>117</v>
      </c>
      <c r="B150" s="21"/>
      <c r="C150" s="21"/>
      <c r="D150" s="21"/>
      <c r="E150" s="21"/>
      <c r="F150" s="100"/>
      <c r="G150" s="100"/>
      <c r="H150" s="21"/>
      <c r="I150" s="100"/>
      <c r="J150" s="100"/>
      <c r="K150" s="100"/>
      <c r="L150" s="100"/>
      <c r="M150" s="100"/>
      <c r="N150" s="100"/>
      <c r="O150" s="21"/>
      <c r="P150" s="101"/>
    </row>
    <row r="151" spans="1:25" ht="15" customHeight="1" x14ac:dyDescent="0.25">
      <c r="A151" s="17"/>
      <c r="B151" s="21" t="s">
        <v>143</v>
      </c>
      <c r="C151" s="22" t="s">
        <v>51</v>
      </c>
      <c r="D151" s="21">
        <v>11847</v>
      </c>
      <c r="E151" s="21"/>
      <c r="F151" s="100"/>
      <c r="G151" s="100"/>
      <c r="H151" s="21">
        <v>-11847</v>
      </c>
      <c r="I151" s="100"/>
      <c r="J151" s="100"/>
      <c r="K151" s="100"/>
      <c r="L151" s="100"/>
      <c r="M151" s="21">
        <v>0</v>
      </c>
      <c r="N151" s="21"/>
      <c r="O151" s="21">
        <v>0</v>
      </c>
      <c r="P151" s="101"/>
    </row>
    <row r="152" spans="1:25" ht="6.75" customHeight="1" x14ac:dyDescent="0.25">
      <c r="A152" s="17"/>
      <c r="B152" s="21"/>
      <c r="C152" s="21"/>
      <c r="D152" s="21"/>
      <c r="E152" s="21"/>
      <c r="F152" s="100"/>
      <c r="G152" s="100"/>
      <c r="H152" s="21"/>
      <c r="I152" s="100"/>
      <c r="J152" s="100"/>
      <c r="K152" s="100"/>
      <c r="L152" s="100"/>
      <c r="M152" s="21"/>
      <c r="N152" s="21"/>
      <c r="O152" s="21">
        <v>0</v>
      </c>
      <c r="P152" s="101"/>
    </row>
    <row r="153" spans="1:25" ht="15" customHeight="1" x14ac:dyDescent="0.25">
      <c r="A153" s="16" t="s">
        <v>119</v>
      </c>
      <c r="B153" s="100"/>
      <c r="C153" s="22"/>
      <c r="D153" s="100">
        <v>0</v>
      </c>
      <c r="E153" s="100">
        <v>0</v>
      </c>
      <c r="F153" s="100"/>
      <c r="G153" s="100">
        <v>0</v>
      </c>
      <c r="H153" s="100">
        <v>0</v>
      </c>
      <c r="I153" s="100"/>
      <c r="J153" s="100"/>
      <c r="K153" s="100">
        <v>0</v>
      </c>
      <c r="L153" s="100"/>
      <c r="M153" s="21">
        <v>63395</v>
      </c>
      <c r="N153" s="21"/>
      <c r="O153" s="21">
        <v>63395</v>
      </c>
      <c r="P153" s="105"/>
      <c r="Q153" s="106"/>
      <c r="R153" s="106"/>
      <c r="S153" s="106"/>
      <c r="T153" s="106"/>
      <c r="U153" s="106"/>
      <c r="V153" s="106"/>
      <c r="W153" s="106"/>
      <c r="X153" s="106"/>
      <c r="Y153" s="106"/>
    </row>
    <row r="154" spans="1:25" ht="7.5" customHeight="1" x14ac:dyDescent="0.25">
      <c r="A154" s="16"/>
      <c r="B154" s="100"/>
      <c r="C154" s="100"/>
      <c r="D154" s="100"/>
      <c r="E154" s="100"/>
      <c r="F154" s="100"/>
      <c r="G154" s="100"/>
      <c r="H154" s="100"/>
      <c r="I154" s="100"/>
      <c r="J154" s="100"/>
      <c r="K154" s="100"/>
      <c r="L154" s="100"/>
      <c r="M154" s="21"/>
      <c r="N154" s="21"/>
      <c r="O154" s="21">
        <v>0</v>
      </c>
      <c r="P154" s="101"/>
    </row>
    <row r="155" spans="1:25" ht="15" customHeight="1" x14ac:dyDescent="0.25">
      <c r="A155" s="16" t="s">
        <v>122</v>
      </c>
      <c r="B155" s="100"/>
      <c r="C155" s="22"/>
      <c r="D155" s="100"/>
      <c r="E155" s="100"/>
      <c r="F155" s="100"/>
      <c r="G155" s="100"/>
      <c r="H155" s="100"/>
      <c r="I155" s="100"/>
      <c r="J155" s="100"/>
      <c r="K155" s="100"/>
      <c r="L155" s="100"/>
      <c r="M155" s="21"/>
      <c r="N155" s="21"/>
      <c r="O155" s="21">
        <v>0</v>
      </c>
      <c r="P155" s="101"/>
    </row>
    <row r="156" spans="1:25" ht="15" customHeight="1" x14ac:dyDescent="0.25">
      <c r="A156" s="16"/>
      <c r="B156" s="21" t="s">
        <v>144</v>
      </c>
      <c r="C156" s="22" t="s">
        <v>54</v>
      </c>
      <c r="D156" s="100">
        <v>0</v>
      </c>
      <c r="E156" s="100"/>
      <c r="F156" s="100"/>
      <c r="G156" s="21">
        <v>2369</v>
      </c>
      <c r="H156" s="100">
        <v>0</v>
      </c>
      <c r="I156" s="100"/>
      <c r="J156" s="100"/>
      <c r="K156" s="100">
        <v>0</v>
      </c>
      <c r="L156" s="100"/>
      <c r="M156" s="21">
        <v>-2369</v>
      </c>
      <c r="N156" s="21"/>
      <c r="O156" s="21">
        <v>0</v>
      </c>
      <c r="P156" s="101"/>
    </row>
    <row r="157" spans="1:25" ht="15" customHeight="1" x14ac:dyDescent="0.25">
      <c r="A157" s="16"/>
      <c r="B157" s="21" t="s">
        <v>145</v>
      </c>
      <c r="C157" s="22" t="s">
        <v>54</v>
      </c>
      <c r="D157" s="100">
        <v>0</v>
      </c>
      <c r="E157" s="100"/>
      <c r="F157" s="100"/>
      <c r="G157" s="100">
        <v>0</v>
      </c>
      <c r="H157" s="21">
        <v>12749</v>
      </c>
      <c r="I157" s="100"/>
      <c r="J157" s="100"/>
      <c r="K157" s="100">
        <v>0</v>
      </c>
      <c r="L157" s="100"/>
      <c r="M157" s="21">
        <v>-12749</v>
      </c>
      <c r="N157" s="21"/>
      <c r="O157" s="21">
        <v>0</v>
      </c>
      <c r="P157" s="101"/>
    </row>
    <row r="158" spans="1:25" ht="15" customHeight="1" x14ac:dyDescent="0.25">
      <c r="A158" s="16"/>
      <c r="B158" s="21" t="s">
        <v>232</v>
      </c>
      <c r="C158" s="22" t="s">
        <v>22</v>
      </c>
      <c r="D158" s="100">
        <v>0</v>
      </c>
      <c r="E158" s="21"/>
      <c r="F158" s="21"/>
      <c r="G158" s="100">
        <v>0</v>
      </c>
      <c r="H158" s="100">
        <v>0</v>
      </c>
      <c r="I158" s="21"/>
      <c r="J158" s="21"/>
      <c r="K158" s="100">
        <v>-29896</v>
      </c>
      <c r="L158" s="21"/>
      <c r="M158" s="21">
        <v>-7457</v>
      </c>
      <c r="N158" s="21"/>
      <c r="O158" s="21">
        <v>-37353</v>
      </c>
      <c r="P158" s="101"/>
    </row>
    <row r="159" spans="1:25" ht="15" customHeight="1" x14ac:dyDescent="0.25">
      <c r="A159" s="16"/>
      <c r="B159" s="21" t="s">
        <v>147</v>
      </c>
      <c r="C159" s="22" t="s">
        <v>22</v>
      </c>
      <c r="D159" s="100">
        <v>0</v>
      </c>
      <c r="E159" s="21"/>
      <c r="F159" s="21"/>
      <c r="G159" s="100">
        <v>0</v>
      </c>
      <c r="H159" s="100">
        <v>0</v>
      </c>
      <c r="I159" s="21"/>
      <c r="J159" s="21"/>
      <c r="K159" s="21">
        <v>32211</v>
      </c>
      <c r="L159" s="21"/>
      <c r="M159" s="21">
        <v>-32211</v>
      </c>
      <c r="N159" s="21"/>
      <c r="O159" s="21">
        <v>0</v>
      </c>
      <c r="P159" s="104"/>
    </row>
    <row r="160" spans="1:25" ht="15" customHeight="1" x14ac:dyDescent="0.25">
      <c r="A160" s="16"/>
      <c r="B160" s="21" t="s">
        <v>148</v>
      </c>
      <c r="C160" s="22"/>
      <c r="D160" s="100">
        <v>0</v>
      </c>
      <c r="E160" s="21"/>
      <c r="F160" s="21"/>
      <c r="G160" s="100">
        <v>0</v>
      </c>
      <c r="H160" s="100">
        <v>0</v>
      </c>
      <c r="I160" s="21"/>
      <c r="J160" s="21"/>
      <c r="K160" s="21">
        <v>0</v>
      </c>
      <c r="L160" s="21"/>
      <c r="M160" s="21">
        <v>-8609</v>
      </c>
      <c r="N160" s="21"/>
      <c r="O160" s="21">
        <v>-8609</v>
      </c>
      <c r="P160" s="101"/>
    </row>
    <row r="161" spans="1:25" ht="15" customHeight="1" x14ac:dyDescent="0.25">
      <c r="A161" s="16" t="s">
        <v>231</v>
      </c>
      <c r="B161" s="100"/>
      <c r="C161" s="100"/>
      <c r="D161" s="103">
        <v>148660</v>
      </c>
      <c r="E161" s="100"/>
      <c r="F161" s="100"/>
      <c r="G161" s="103">
        <v>29732</v>
      </c>
      <c r="H161" s="103">
        <v>13411</v>
      </c>
      <c r="I161" s="103">
        <v>0</v>
      </c>
      <c r="J161" s="103">
        <v>0</v>
      </c>
      <c r="K161" s="103">
        <v>32211</v>
      </c>
      <c r="L161" s="103">
        <v>0</v>
      </c>
      <c r="M161" s="103">
        <v>0</v>
      </c>
      <c r="N161" s="103">
        <v>0</v>
      </c>
      <c r="O161" s="103">
        <v>224014</v>
      </c>
      <c r="P161" s="104">
        <f>D161-BALANÇO!K37</f>
        <v>0</v>
      </c>
      <c r="Q161" s="102">
        <f>G161+H161-BALANÇO!K38</f>
        <v>0</v>
      </c>
      <c r="R161" s="102">
        <f>K161-BALANÇO!K39</f>
        <v>0</v>
      </c>
      <c r="S161" s="102">
        <f>O161-BALANÇO!K40</f>
        <v>0</v>
      </c>
    </row>
    <row r="162" spans="1:25" ht="15" customHeight="1" x14ac:dyDescent="0.25">
      <c r="A162" s="17"/>
      <c r="B162" s="21"/>
      <c r="C162" s="22"/>
      <c r="D162" s="100"/>
      <c r="E162" s="100"/>
      <c r="F162" s="100"/>
      <c r="G162" s="100"/>
      <c r="H162" s="100"/>
      <c r="I162" s="100"/>
      <c r="J162" s="100"/>
      <c r="K162" s="21"/>
      <c r="L162" s="100"/>
      <c r="M162" s="100"/>
      <c r="N162" s="100"/>
      <c r="O162" s="21"/>
      <c r="P162" s="99"/>
    </row>
    <row r="163" spans="1:25" ht="15" hidden="1" customHeight="1" x14ac:dyDescent="0.25">
      <c r="A163" s="17" t="s">
        <v>139</v>
      </c>
      <c r="B163" s="21"/>
      <c r="C163" s="22"/>
      <c r="D163" s="100">
        <v>0</v>
      </c>
      <c r="E163" s="100"/>
      <c r="F163" s="100"/>
      <c r="G163" s="100">
        <v>0</v>
      </c>
      <c r="H163" s="100">
        <v>0</v>
      </c>
      <c r="I163" s="100"/>
      <c r="J163" s="100"/>
      <c r="K163" s="21"/>
      <c r="L163" s="100"/>
      <c r="M163" s="100">
        <v>0</v>
      </c>
      <c r="N163" s="100"/>
      <c r="O163" s="21">
        <v>0</v>
      </c>
      <c r="P163" s="99"/>
    </row>
    <row r="164" spans="1:25" ht="8.25" customHeight="1" x14ac:dyDescent="0.25">
      <c r="A164" s="16"/>
      <c r="B164" s="100"/>
      <c r="C164" s="100"/>
      <c r="D164" s="100"/>
      <c r="E164" s="100"/>
      <c r="F164" s="100"/>
      <c r="G164" s="100"/>
      <c r="H164" s="100"/>
      <c r="I164" s="100"/>
      <c r="J164" s="100"/>
      <c r="K164" s="100"/>
      <c r="L164" s="100"/>
      <c r="M164" s="100"/>
      <c r="N164" s="100"/>
      <c r="O164" s="100"/>
      <c r="P164" s="99"/>
    </row>
    <row r="165" spans="1:25" ht="15" customHeight="1" x14ac:dyDescent="0.25">
      <c r="A165" s="16" t="s">
        <v>117</v>
      </c>
      <c r="B165" s="21"/>
      <c r="C165" s="21"/>
      <c r="D165" s="21"/>
      <c r="E165" s="21"/>
      <c r="F165" s="100"/>
      <c r="G165" s="100"/>
      <c r="H165" s="21"/>
      <c r="I165" s="100"/>
      <c r="J165" s="100"/>
      <c r="K165" s="100"/>
      <c r="L165" s="100"/>
      <c r="M165" s="100"/>
      <c r="N165" s="100"/>
      <c r="O165" s="21"/>
      <c r="P165" s="101"/>
    </row>
    <row r="166" spans="1:25" ht="15" customHeight="1" x14ac:dyDescent="0.25">
      <c r="A166" s="17"/>
      <c r="B166" s="21" t="s">
        <v>143</v>
      </c>
      <c r="C166" s="22" t="s">
        <v>78</v>
      </c>
      <c r="D166" s="21">
        <v>12639</v>
      </c>
      <c r="E166" s="21"/>
      <c r="F166" s="100"/>
      <c r="G166" s="100"/>
      <c r="H166" s="21">
        <v>-12639</v>
      </c>
      <c r="I166" s="100"/>
      <c r="J166" s="100"/>
      <c r="K166" s="100"/>
      <c r="L166" s="100"/>
      <c r="M166" s="21">
        <v>0</v>
      </c>
      <c r="N166" s="21"/>
      <c r="O166" s="21">
        <v>0</v>
      </c>
      <c r="P166" s="101"/>
    </row>
    <row r="167" spans="1:25" ht="6.75" customHeight="1" x14ac:dyDescent="0.25">
      <c r="A167" s="17"/>
      <c r="B167" s="21"/>
      <c r="C167" s="21"/>
      <c r="D167" s="21"/>
      <c r="E167" s="21"/>
      <c r="F167" s="100"/>
      <c r="G167" s="100"/>
      <c r="H167" s="21"/>
      <c r="I167" s="100"/>
      <c r="J167" s="100"/>
      <c r="K167" s="100"/>
      <c r="L167" s="100"/>
      <c r="M167" s="21"/>
      <c r="N167" s="21"/>
      <c r="O167" s="21"/>
      <c r="P167" s="101"/>
    </row>
    <row r="168" spans="1:25" ht="15" customHeight="1" x14ac:dyDescent="0.25">
      <c r="A168" s="16" t="s">
        <v>119</v>
      </c>
      <c r="B168" s="100"/>
      <c r="C168" s="22"/>
      <c r="D168" s="100">
        <v>0</v>
      </c>
      <c r="E168" s="100">
        <v>0</v>
      </c>
      <c r="F168" s="100"/>
      <c r="G168" s="100">
        <v>0</v>
      </c>
      <c r="H168" s="100">
        <v>0</v>
      </c>
      <c r="I168" s="100"/>
      <c r="J168" s="100"/>
      <c r="K168" s="100">
        <v>0</v>
      </c>
      <c r="L168" s="100"/>
      <c r="M168" s="21">
        <v>124675</v>
      </c>
      <c r="N168" s="21"/>
      <c r="O168" s="21">
        <v>124675</v>
      </c>
      <c r="P168" s="105"/>
      <c r="Q168" s="106"/>
      <c r="R168" s="106"/>
      <c r="S168" s="106"/>
      <c r="T168" s="106"/>
      <c r="U168" s="106"/>
      <c r="V168" s="106"/>
      <c r="W168" s="106"/>
      <c r="X168" s="106"/>
      <c r="Y168" s="106"/>
    </row>
    <row r="169" spans="1:25" ht="7.5" customHeight="1" x14ac:dyDescent="0.25">
      <c r="A169" s="16"/>
      <c r="B169" s="100"/>
      <c r="C169" s="100"/>
      <c r="D169" s="100"/>
      <c r="E169" s="100"/>
      <c r="F169" s="100"/>
      <c r="G169" s="100"/>
      <c r="H169" s="100"/>
      <c r="I169" s="100"/>
      <c r="J169" s="100"/>
      <c r="K169" s="100"/>
      <c r="L169" s="100"/>
      <c r="M169" s="21"/>
      <c r="N169" s="21"/>
      <c r="O169" s="21"/>
      <c r="P169" s="101"/>
    </row>
    <row r="170" spans="1:25" ht="15" customHeight="1" x14ac:dyDescent="0.25">
      <c r="A170" s="16" t="s">
        <v>122</v>
      </c>
      <c r="B170" s="100"/>
      <c r="C170" s="22"/>
      <c r="D170" s="100"/>
      <c r="E170" s="100"/>
      <c r="F170" s="100"/>
      <c r="G170" s="100"/>
      <c r="H170" s="100"/>
      <c r="I170" s="100"/>
      <c r="J170" s="100"/>
      <c r="K170" s="100"/>
      <c r="L170" s="100"/>
      <c r="M170" s="21"/>
      <c r="N170" s="21"/>
      <c r="O170" s="21"/>
      <c r="P170" s="101"/>
      <c r="R170" s="188"/>
    </row>
    <row r="171" spans="1:25" ht="15" hidden="1" customHeight="1" x14ac:dyDescent="0.25">
      <c r="A171" s="16"/>
      <c r="B171" s="21" t="s">
        <v>144</v>
      </c>
      <c r="C171" s="22" t="s">
        <v>142</v>
      </c>
      <c r="D171" s="100">
        <v>0</v>
      </c>
      <c r="E171" s="100"/>
      <c r="F171" s="100"/>
      <c r="G171" s="21">
        <v>0</v>
      </c>
      <c r="H171" s="100">
        <v>0</v>
      </c>
      <c r="I171" s="100"/>
      <c r="J171" s="100"/>
      <c r="K171" s="100">
        <v>0</v>
      </c>
      <c r="L171" s="100"/>
      <c r="M171" s="21">
        <v>0</v>
      </c>
      <c r="N171" s="21"/>
      <c r="O171" s="21">
        <v>0</v>
      </c>
      <c r="P171" s="101"/>
    </row>
    <row r="172" spans="1:25" ht="15" hidden="1" customHeight="1" x14ac:dyDescent="0.25">
      <c r="A172" s="16"/>
      <c r="B172" s="21" t="s">
        <v>145</v>
      </c>
      <c r="C172" s="22" t="s">
        <v>78</v>
      </c>
      <c r="D172" s="100">
        <v>0</v>
      </c>
      <c r="E172" s="100"/>
      <c r="F172" s="100"/>
      <c r="G172" s="100">
        <v>0</v>
      </c>
      <c r="H172" s="21">
        <v>0</v>
      </c>
      <c r="I172" s="100"/>
      <c r="J172" s="100"/>
      <c r="K172" s="100">
        <v>0</v>
      </c>
      <c r="L172" s="100"/>
      <c r="M172" s="21">
        <v>0</v>
      </c>
      <c r="N172" s="21"/>
      <c r="O172" s="21">
        <v>0</v>
      </c>
      <c r="P172" s="101"/>
    </row>
    <row r="173" spans="1:25" ht="15" hidden="1" customHeight="1" x14ac:dyDescent="0.25">
      <c r="A173" s="16"/>
      <c r="B173" s="21" t="s">
        <v>146</v>
      </c>
      <c r="C173" s="22" t="s">
        <v>142</v>
      </c>
      <c r="D173" s="100">
        <v>0</v>
      </c>
      <c r="E173" s="21"/>
      <c r="F173" s="21"/>
      <c r="G173" s="100">
        <v>0</v>
      </c>
      <c r="H173" s="100">
        <v>0</v>
      </c>
      <c r="I173" s="21"/>
      <c r="J173" s="21"/>
      <c r="K173" s="100">
        <v>0</v>
      </c>
      <c r="L173" s="21"/>
      <c r="M173" s="21">
        <v>0</v>
      </c>
      <c r="N173" s="21"/>
      <c r="O173" s="21">
        <v>0</v>
      </c>
      <c r="P173" s="101"/>
    </row>
    <row r="174" spans="1:25" ht="15" hidden="1" customHeight="1" x14ac:dyDescent="0.25">
      <c r="A174" s="16"/>
      <c r="B174" s="21" t="s">
        <v>147</v>
      </c>
      <c r="C174" s="22" t="s">
        <v>142</v>
      </c>
      <c r="D174" s="100">
        <v>0</v>
      </c>
      <c r="E174" s="21"/>
      <c r="F174" s="21"/>
      <c r="G174" s="100">
        <v>0</v>
      </c>
      <c r="H174" s="100">
        <v>0</v>
      </c>
      <c r="I174" s="21"/>
      <c r="J174" s="21"/>
      <c r="K174" s="21">
        <v>0</v>
      </c>
      <c r="L174" s="21"/>
      <c r="M174" s="21">
        <v>0</v>
      </c>
      <c r="N174" s="21"/>
      <c r="O174" s="21">
        <v>0</v>
      </c>
      <c r="P174" s="104"/>
    </row>
    <row r="175" spans="1:25" ht="15" customHeight="1" x14ac:dyDescent="0.25">
      <c r="A175" s="16"/>
      <c r="B175" s="21" t="s">
        <v>144</v>
      </c>
      <c r="C175" s="22" t="s">
        <v>54</v>
      </c>
      <c r="D175" s="100">
        <v>0</v>
      </c>
      <c r="E175" s="21"/>
      <c r="F175" s="21"/>
      <c r="G175" s="21">
        <v>2528</v>
      </c>
      <c r="H175" s="100">
        <v>0</v>
      </c>
      <c r="I175" s="21"/>
      <c r="J175" s="21"/>
      <c r="K175" s="21">
        <v>0</v>
      </c>
      <c r="L175" s="21"/>
      <c r="M175" s="21">
        <v>-2528</v>
      </c>
      <c r="N175" s="21"/>
      <c r="O175" s="21">
        <v>0</v>
      </c>
      <c r="P175" s="179"/>
      <c r="Q175" s="180"/>
      <c r="R175" s="189"/>
    </row>
    <row r="176" spans="1:25" ht="15" customHeight="1" x14ac:dyDescent="0.25">
      <c r="A176" s="16"/>
      <c r="B176" s="21" t="s">
        <v>145</v>
      </c>
      <c r="C176" s="22" t="s">
        <v>54</v>
      </c>
      <c r="D176" s="100">
        <v>0</v>
      </c>
      <c r="E176" s="21"/>
      <c r="F176" s="21"/>
      <c r="G176" s="100">
        <v>0</v>
      </c>
      <c r="H176" s="21">
        <v>15625</v>
      </c>
      <c r="I176" s="21"/>
      <c r="J176" s="21"/>
      <c r="K176" s="21">
        <v>0</v>
      </c>
      <c r="L176" s="21"/>
      <c r="M176" s="21">
        <v>-15625</v>
      </c>
      <c r="N176" s="21"/>
      <c r="O176" s="21">
        <v>0</v>
      </c>
      <c r="P176" s="179"/>
      <c r="Q176" s="180"/>
      <c r="R176" s="180"/>
    </row>
    <row r="177" spans="1:18" ht="15" customHeight="1" x14ac:dyDescent="0.25">
      <c r="A177" s="16"/>
      <c r="B177" s="21" t="s">
        <v>232</v>
      </c>
      <c r="C177" s="22" t="s">
        <v>22</v>
      </c>
      <c r="D177" s="100">
        <v>0</v>
      </c>
      <c r="E177" s="21"/>
      <c r="F177" s="21"/>
      <c r="G177" s="100">
        <v>0</v>
      </c>
      <c r="H177" s="100">
        <v>0</v>
      </c>
      <c r="I177" s="21"/>
      <c r="J177" s="21"/>
      <c r="K177" s="21">
        <v>-32211</v>
      </c>
      <c r="L177" s="21"/>
      <c r="M177" s="21">
        <v>-9851</v>
      </c>
      <c r="N177" s="21"/>
      <c r="O177" s="21">
        <v>-42062</v>
      </c>
      <c r="P177" s="179"/>
      <c r="Q177" s="182"/>
      <c r="R177" s="180"/>
    </row>
    <row r="178" spans="1:18" ht="15" customHeight="1" x14ac:dyDescent="0.25">
      <c r="A178" s="16"/>
      <c r="B178" s="21" t="s">
        <v>147</v>
      </c>
      <c r="C178" s="22" t="s">
        <v>22</v>
      </c>
      <c r="D178" s="100">
        <v>0</v>
      </c>
      <c r="E178" s="21"/>
      <c r="F178" s="21"/>
      <c r="G178" s="100">
        <v>0</v>
      </c>
      <c r="H178" s="100">
        <v>0</v>
      </c>
      <c r="I178" s="21"/>
      <c r="J178" s="21"/>
      <c r="K178" s="21">
        <v>43687</v>
      </c>
      <c r="L178" s="21"/>
      <c r="M178" s="21">
        <v>-43687</v>
      </c>
      <c r="N178" s="21"/>
      <c r="O178" s="21">
        <v>0</v>
      </c>
      <c r="P178" s="179"/>
      <c r="Q178" s="183"/>
      <c r="R178" s="180"/>
    </row>
    <row r="179" spans="1:18" ht="15" customHeight="1" x14ac:dyDescent="0.25">
      <c r="A179" s="16"/>
      <c r="B179" s="21" t="s">
        <v>148</v>
      </c>
      <c r="C179" s="22"/>
      <c r="D179" s="100">
        <v>0</v>
      </c>
      <c r="E179" s="21"/>
      <c r="F179" s="21"/>
      <c r="G179" s="100">
        <v>0</v>
      </c>
      <c r="H179" s="100">
        <v>0</v>
      </c>
      <c r="I179" s="21"/>
      <c r="J179" s="21"/>
      <c r="K179" s="21">
        <v>0</v>
      </c>
      <c r="L179" s="21"/>
      <c r="M179" s="21">
        <v>-9205</v>
      </c>
      <c r="N179" s="21"/>
      <c r="O179" s="21">
        <v>-9205</v>
      </c>
      <c r="P179" s="181"/>
      <c r="Q179" s="184"/>
      <c r="R179" s="180"/>
    </row>
    <row r="180" spans="1:18" ht="17.25" customHeight="1" x14ac:dyDescent="0.25">
      <c r="A180" s="16"/>
      <c r="B180" s="21" t="s">
        <v>233</v>
      </c>
      <c r="C180" s="21"/>
      <c r="D180" s="21"/>
      <c r="E180" s="21"/>
      <c r="F180" s="21"/>
      <c r="G180" s="21"/>
      <c r="H180" s="21"/>
      <c r="I180" s="21"/>
      <c r="J180" s="21"/>
      <c r="K180" s="21"/>
      <c r="L180" s="21"/>
      <c r="M180" s="21">
        <v>-43779</v>
      </c>
      <c r="N180" s="21"/>
      <c r="O180" s="21">
        <v>-43779</v>
      </c>
      <c r="P180" s="104"/>
    </row>
    <row r="181" spans="1:18" ht="15" customHeight="1" x14ac:dyDescent="0.25">
      <c r="A181" s="16" t="s">
        <v>236</v>
      </c>
      <c r="B181" s="100"/>
      <c r="C181" s="100"/>
      <c r="D181" s="103">
        <v>161299</v>
      </c>
      <c r="E181" s="100"/>
      <c r="F181" s="100"/>
      <c r="G181" s="103">
        <v>32260</v>
      </c>
      <c r="H181" s="103">
        <v>16397</v>
      </c>
      <c r="I181" s="103">
        <v>0</v>
      </c>
      <c r="J181" s="100"/>
      <c r="K181" s="103">
        <v>43687</v>
      </c>
      <c r="L181" s="100"/>
      <c r="M181" s="103">
        <v>0</v>
      </c>
      <c r="N181" s="100"/>
      <c r="O181" s="103">
        <v>253643</v>
      </c>
      <c r="P181" s="104"/>
      <c r="Q181" s="190"/>
    </row>
    <row r="182" spans="1:18" ht="9" customHeight="1" x14ac:dyDescent="0.25">
      <c r="A182" s="16"/>
      <c r="B182" s="100"/>
      <c r="C182" s="100"/>
      <c r="D182" s="100"/>
      <c r="E182" s="100"/>
      <c r="F182" s="100"/>
      <c r="G182" s="100"/>
      <c r="H182" s="100"/>
      <c r="I182" s="100"/>
      <c r="J182" s="100"/>
      <c r="K182" s="100"/>
      <c r="L182" s="100"/>
      <c r="M182" s="100"/>
      <c r="N182" s="100"/>
      <c r="O182" s="100"/>
      <c r="P182" s="104"/>
    </row>
    <row r="183" spans="1:18" ht="15" customHeight="1" x14ac:dyDescent="0.25">
      <c r="A183" s="38" t="s">
        <v>102</v>
      </c>
      <c r="B183" s="39"/>
      <c r="C183" s="39"/>
      <c r="D183" s="39"/>
      <c r="E183" s="39"/>
      <c r="F183" s="39"/>
      <c r="G183" s="39"/>
      <c r="H183" s="39"/>
      <c r="I183" s="39"/>
      <c r="J183" s="39"/>
      <c r="K183" s="39"/>
      <c r="L183" s="39"/>
      <c r="M183" s="39"/>
      <c r="N183" s="39"/>
      <c r="O183" s="39"/>
    </row>
    <row r="184" spans="1:18" ht="15" customHeight="1" x14ac:dyDescent="0.25">
      <c r="A184" s="17"/>
      <c r="B184" s="21"/>
      <c r="C184" s="21"/>
      <c r="D184" s="21"/>
      <c r="E184" s="21"/>
      <c r="F184" s="21"/>
      <c r="G184" s="21"/>
      <c r="H184" s="21"/>
      <c r="I184" s="21"/>
      <c r="J184" s="21"/>
      <c r="K184" s="21"/>
      <c r="L184" s="21"/>
      <c r="M184" s="21"/>
      <c r="N184" s="21"/>
      <c r="O184" s="21"/>
    </row>
    <row r="185" spans="1:18" ht="15" customHeight="1" x14ac:dyDescent="0.25">
      <c r="A185" s="17"/>
      <c r="B185" s="21"/>
      <c r="C185" s="21"/>
      <c r="D185" s="21"/>
      <c r="E185" s="21"/>
      <c r="F185" s="21"/>
      <c r="G185" s="21"/>
      <c r="H185" s="21"/>
      <c r="I185" s="21"/>
      <c r="J185" s="21"/>
      <c r="K185" s="21"/>
      <c r="L185" s="21"/>
      <c r="M185" s="21"/>
      <c r="N185" s="21"/>
      <c r="O185" s="21"/>
    </row>
    <row r="186" spans="1:18" ht="15" customHeight="1" x14ac:dyDescent="0.25">
      <c r="A186" s="17"/>
      <c r="B186" s="21"/>
      <c r="C186" s="21"/>
      <c r="D186" s="21"/>
      <c r="E186" s="21"/>
      <c r="F186" s="21"/>
      <c r="G186" s="21"/>
      <c r="H186" s="21"/>
      <c r="I186" s="21"/>
      <c r="J186" s="21"/>
      <c r="K186" s="21"/>
      <c r="L186" s="21"/>
      <c r="M186" s="21"/>
      <c r="N186" s="21"/>
      <c r="O186" s="21"/>
      <c r="P186" s="178"/>
    </row>
    <row r="187" spans="1:18" ht="15" customHeight="1" x14ac:dyDescent="0.3">
      <c r="A187" s="2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178"/>
    </row>
    <row r="188" spans="1:18" ht="15" customHeight="1" x14ac:dyDescent="0.3">
      <c r="A188" s="2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P188" s="90"/>
    </row>
    <row r="189" spans="1:18" s="97" customFormat="1" ht="15" customHeight="1" x14ac:dyDescent="0.3">
      <c r="B189" s="107"/>
      <c r="C189" s="107"/>
      <c r="D189" s="107"/>
      <c r="E189" s="107"/>
      <c r="F189" s="107"/>
      <c r="G189" s="107"/>
      <c r="H189" s="107"/>
      <c r="I189" s="107"/>
      <c r="J189" s="107"/>
      <c r="K189" s="107"/>
      <c r="L189" s="107"/>
      <c r="M189" s="107"/>
      <c r="N189" s="107"/>
      <c r="O189" s="7">
        <v>5</v>
      </c>
    </row>
    <row r="190" spans="1:18" s="97" customFormat="1" ht="15" customHeight="1" x14ac:dyDescent="0.3">
      <c r="B190" s="107"/>
      <c r="C190" s="107"/>
      <c r="D190" s="107"/>
      <c r="E190" s="107"/>
      <c r="F190" s="107"/>
      <c r="G190" s="107"/>
      <c r="H190" s="107"/>
      <c r="I190" s="107"/>
      <c r="J190" s="107"/>
      <c r="K190" s="107"/>
      <c r="L190" s="107"/>
      <c r="M190" s="107"/>
      <c r="N190" s="107"/>
    </row>
    <row r="191" spans="1:18" s="97" customFormat="1" ht="15" customHeight="1" x14ac:dyDescent="0.3">
      <c r="B191" s="107"/>
      <c r="C191" s="107"/>
      <c r="D191" s="107"/>
      <c r="E191" s="107"/>
      <c r="F191" s="107"/>
      <c r="G191" s="107"/>
      <c r="H191" s="107"/>
      <c r="I191" s="107"/>
      <c r="J191" s="107"/>
      <c r="K191" s="107"/>
      <c r="L191" s="107"/>
      <c r="M191" s="107"/>
      <c r="N191" s="107"/>
    </row>
    <row r="192" spans="1:18" ht="15" customHeight="1" x14ac:dyDescent="0.25">
      <c r="B192" s="108"/>
      <c r="C192" s="108"/>
      <c r="D192" s="108"/>
      <c r="E192" s="108"/>
      <c r="F192" s="108"/>
      <c r="G192" s="108"/>
      <c r="H192" s="108"/>
      <c r="I192" s="108"/>
      <c r="J192" s="108"/>
      <c r="K192" s="108"/>
      <c r="L192" s="108"/>
      <c r="M192" s="21"/>
      <c r="N192" s="108"/>
    </row>
    <row r="193" spans="2:15" ht="15" customHeight="1" x14ac:dyDescent="0.25">
      <c r="B193" s="108"/>
      <c r="C193" s="108"/>
      <c r="D193" s="108"/>
      <c r="E193" s="108"/>
      <c r="F193" s="108"/>
      <c r="G193" s="108"/>
      <c r="H193" s="108"/>
      <c r="I193" s="108"/>
      <c r="J193" s="108"/>
      <c r="K193" s="108"/>
      <c r="L193" s="108"/>
      <c r="M193" s="108"/>
      <c r="N193" s="108"/>
    </row>
    <row r="194" spans="2:15" ht="15" customHeight="1" x14ac:dyDescent="0.25">
      <c r="B194" s="108"/>
      <c r="C194" s="108"/>
      <c r="D194" s="108"/>
      <c r="E194" s="108"/>
      <c r="F194" s="108"/>
      <c r="G194" s="108"/>
      <c r="H194" s="108"/>
      <c r="I194" s="108"/>
      <c r="J194" s="108"/>
      <c r="K194" s="108"/>
      <c r="L194" s="108"/>
      <c r="M194" s="108"/>
      <c r="N194" s="108"/>
      <c r="O194" s="108"/>
    </row>
    <row r="195" spans="2:15" ht="15" customHeight="1" x14ac:dyDescent="0.25">
      <c r="B195" s="108"/>
      <c r="C195" s="108"/>
      <c r="D195" s="108"/>
      <c r="E195" s="108"/>
      <c r="F195" s="108"/>
      <c r="G195" s="108"/>
      <c r="H195" s="108"/>
      <c r="I195" s="108"/>
      <c r="J195" s="108"/>
      <c r="K195" s="108"/>
      <c r="L195" s="108"/>
      <c r="M195" s="108"/>
      <c r="N195" s="108"/>
      <c r="O195" s="108"/>
    </row>
  </sheetData>
  <mergeCells count="14">
    <mergeCell ref="A12:B12"/>
    <mergeCell ref="G12:G13"/>
    <mergeCell ref="H12:H13"/>
    <mergeCell ref="I12:I13"/>
    <mergeCell ref="A5:E5"/>
    <mergeCell ref="A6:E6"/>
    <mergeCell ref="A9:O9"/>
    <mergeCell ref="A11:B11"/>
    <mergeCell ref="C11:C13"/>
    <mergeCell ref="D11:D13"/>
    <mergeCell ref="G11:I11"/>
    <mergeCell ref="K11:K13"/>
    <mergeCell ref="M11:M13"/>
    <mergeCell ref="O11:O13"/>
  </mergeCells>
  <printOptions horizontalCentered="1"/>
  <pageMargins left="0.39370078740157483" right="0.39370078740157483" top="0.39370078740157483" bottom="0.39370078740157483" header="0" footer="0.47244094488188981"/>
  <pageSetup paperSize="9" scale="67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A6D73D-DDE6-4382-9A82-F53C2B965A5E}">
  <sheetPr>
    <tabColor rgb="FF00B0F0"/>
  </sheetPr>
  <dimension ref="A6:CA77"/>
  <sheetViews>
    <sheetView showGridLines="0" zoomScaleNormal="100" workbookViewId="0">
      <pane ySplit="12" topLeftCell="A21" activePane="bottomLeft" state="frozen"/>
      <selection activeCell="B40" sqref="B40"/>
      <selection pane="bottomLeft" activeCell="M67" sqref="M67:O75"/>
    </sheetView>
  </sheetViews>
  <sheetFormatPr defaultColWidth="11.42578125" defaultRowHeight="15" customHeight="1" x14ac:dyDescent="0.25"/>
  <cols>
    <col min="1" max="1" width="2" style="135" customWidth="1"/>
    <col min="2" max="2" width="45.42578125" style="143" customWidth="1"/>
    <col min="3" max="3" width="15.5703125" style="143" customWidth="1"/>
    <col min="4" max="4" width="12.140625" style="144" customWidth="1"/>
    <col min="5" max="5" width="1.7109375" style="145" customWidth="1"/>
    <col min="6" max="6" width="13.28515625" style="144" customWidth="1"/>
    <col min="7" max="7" width="1.7109375" style="145" customWidth="1"/>
    <col min="8" max="8" width="13.28515625" style="146" customWidth="1"/>
    <col min="9" max="9" width="1.7109375" style="145" customWidth="1"/>
    <col min="10" max="79" width="11.42578125" style="106"/>
    <col min="80" max="16384" width="11.42578125" style="135"/>
  </cols>
  <sheetData>
    <row r="6" spans="1:9" ht="15" customHeight="1" x14ac:dyDescent="0.25">
      <c r="A6" s="16" t="s">
        <v>0</v>
      </c>
      <c r="B6" s="16"/>
      <c r="C6" s="16"/>
      <c r="D6" s="16"/>
      <c r="E6" s="7"/>
      <c r="F6" s="8"/>
      <c r="G6" s="7"/>
      <c r="H6" s="124"/>
      <c r="I6" s="7"/>
    </row>
    <row r="7" spans="1:9" ht="15" customHeight="1" x14ac:dyDescent="0.25">
      <c r="A7" s="195" t="str">
        <f>BALANÇO!A5</f>
        <v>DEMONSTRAÇÕES FINANCEIRAS LEVANTADAS EM 31 DE DEZEMBRO DE 2021 E 2020</v>
      </c>
      <c r="B7" s="195"/>
      <c r="C7" s="195"/>
      <c r="D7" s="195"/>
      <c r="E7" s="195"/>
      <c r="F7" s="195"/>
      <c r="G7" s="195"/>
      <c r="H7" s="195"/>
      <c r="I7" s="195"/>
    </row>
    <row r="8" spans="1:9" ht="15" customHeight="1" x14ac:dyDescent="0.25">
      <c r="A8" s="9"/>
      <c r="B8" s="9"/>
      <c r="C8" s="9"/>
      <c r="D8" s="9"/>
      <c r="E8" s="7"/>
      <c r="F8" s="8"/>
      <c r="G8" s="7"/>
      <c r="H8" s="124"/>
      <c r="I8" s="7"/>
    </row>
    <row r="9" spans="1:9" ht="15" customHeight="1" x14ac:dyDescent="0.25">
      <c r="A9" s="196" t="s">
        <v>188</v>
      </c>
      <c r="B9" s="196"/>
      <c r="C9" s="196"/>
      <c r="D9" s="196"/>
      <c r="E9" s="196"/>
      <c r="F9" s="196"/>
      <c r="G9" s="196"/>
      <c r="H9" s="196"/>
      <c r="I9" s="196"/>
    </row>
    <row r="10" spans="1:9" ht="15" customHeight="1" x14ac:dyDescent="0.25">
      <c r="A10" s="51" t="s">
        <v>1</v>
      </c>
      <c r="B10" s="51"/>
      <c r="C10" s="51"/>
      <c r="D10" s="51"/>
      <c r="E10" s="10"/>
      <c r="F10" s="86"/>
      <c r="G10" s="10"/>
      <c r="H10" s="86"/>
      <c r="I10" s="10"/>
    </row>
    <row r="11" spans="1:9" ht="15" customHeight="1" x14ac:dyDescent="0.25">
      <c r="A11" s="13"/>
      <c r="B11" s="17"/>
      <c r="C11" s="17"/>
      <c r="D11" s="192"/>
      <c r="E11" s="9"/>
      <c r="F11" s="200">
        <f>DFC!D10</f>
        <v>44561</v>
      </c>
      <c r="G11" s="9"/>
      <c r="H11" s="200">
        <f>DFC!F10</f>
        <v>44196</v>
      </c>
      <c r="I11" s="9"/>
    </row>
    <row r="12" spans="1:9" ht="15.75" x14ac:dyDescent="0.25">
      <c r="A12" s="13"/>
      <c r="B12" s="13"/>
      <c r="C12" s="17"/>
      <c r="D12" s="192"/>
      <c r="E12" s="21"/>
      <c r="F12" s="201"/>
      <c r="G12" s="21"/>
      <c r="H12" s="201"/>
      <c r="I12" s="21"/>
    </row>
    <row r="13" spans="1:9" ht="15" customHeight="1" x14ac:dyDescent="0.25">
      <c r="A13" s="125" t="s">
        <v>189</v>
      </c>
      <c r="B13" s="17"/>
      <c r="C13" s="17"/>
      <c r="D13" s="21"/>
      <c r="E13" s="126"/>
      <c r="F13" s="103">
        <v>802421</v>
      </c>
      <c r="G13" s="126"/>
      <c r="H13" s="127">
        <v>654525</v>
      </c>
      <c r="I13" s="126"/>
    </row>
    <row r="14" spans="1:9" ht="15" customHeight="1" x14ac:dyDescent="0.25">
      <c r="A14" s="128" t="s">
        <v>190</v>
      </c>
      <c r="B14" s="17"/>
      <c r="C14" s="17"/>
      <c r="D14" s="21"/>
      <c r="E14" s="7"/>
      <c r="F14" s="21">
        <v>716313</v>
      </c>
      <c r="G14" s="7"/>
      <c r="H14" s="28">
        <v>457868</v>
      </c>
      <c r="I14" s="7"/>
    </row>
    <row r="15" spans="1:9" ht="15" customHeight="1" x14ac:dyDescent="0.25">
      <c r="A15" s="128" t="s">
        <v>191</v>
      </c>
      <c r="B15" s="17"/>
      <c r="C15" s="17"/>
      <c r="D15" s="21"/>
      <c r="E15" s="7"/>
      <c r="F15" s="21">
        <v>86178</v>
      </c>
      <c r="G15" s="7"/>
      <c r="H15" s="28">
        <v>197022</v>
      </c>
      <c r="I15" s="7"/>
    </row>
    <row r="16" spans="1:9" ht="15" hidden="1" customHeight="1" x14ac:dyDescent="0.25">
      <c r="A16" s="128" t="s">
        <v>192</v>
      </c>
      <c r="B16" s="17"/>
      <c r="C16" s="17"/>
      <c r="D16" s="21"/>
      <c r="E16" s="7"/>
      <c r="F16" s="21">
        <v>0</v>
      </c>
      <c r="G16" s="7"/>
      <c r="H16" s="28">
        <v>0</v>
      </c>
      <c r="I16" s="7"/>
    </row>
    <row r="17" spans="1:9" ht="15" customHeight="1" x14ac:dyDescent="0.25">
      <c r="A17" s="128" t="s">
        <v>193</v>
      </c>
      <c r="B17" s="17"/>
      <c r="C17" s="17"/>
      <c r="D17" s="21"/>
      <c r="E17" s="7"/>
      <c r="F17" s="21">
        <v>-70</v>
      </c>
      <c r="G17" s="7"/>
      <c r="H17" s="28">
        <v>-365</v>
      </c>
      <c r="I17" s="7"/>
    </row>
    <row r="18" spans="1:9" ht="15" customHeight="1" x14ac:dyDescent="0.25">
      <c r="A18" s="128"/>
      <c r="B18" s="17"/>
      <c r="C18" s="17"/>
      <c r="D18" s="21"/>
      <c r="E18" s="7"/>
      <c r="F18" s="21"/>
      <c r="G18" s="7"/>
      <c r="H18" s="28"/>
      <c r="I18" s="7"/>
    </row>
    <row r="19" spans="1:9" ht="27" customHeight="1" x14ac:dyDescent="0.25">
      <c r="A19" s="212" t="s">
        <v>194</v>
      </c>
      <c r="B19" s="212"/>
      <c r="C19" s="212"/>
      <c r="D19" s="212"/>
      <c r="E19" s="129"/>
      <c r="F19" s="130">
        <v>621389</v>
      </c>
      <c r="G19" s="129"/>
      <c r="H19" s="131">
        <v>370551</v>
      </c>
      <c r="I19" s="129"/>
    </row>
    <row r="20" spans="1:9" ht="15" customHeight="1" x14ac:dyDescent="0.25">
      <c r="A20" s="128" t="s">
        <v>195</v>
      </c>
      <c r="B20" s="17"/>
      <c r="C20" s="17"/>
      <c r="D20" s="21"/>
      <c r="E20" s="7"/>
      <c r="F20" s="21">
        <v>604123</v>
      </c>
      <c r="G20" s="7"/>
      <c r="H20" s="28">
        <v>357620</v>
      </c>
      <c r="I20" s="7"/>
    </row>
    <row r="21" spans="1:9" ht="15" customHeight="1" x14ac:dyDescent="0.25">
      <c r="A21" s="128" t="s">
        <v>196</v>
      </c>
      <c r="B21" s="17" t="s">
        <v>197</v>
      </c>
      <c r="C21" s="17"/>
      <c r="D21" s="21"/>
      <c r="E21" s="7"/>
      <c r="F21" s="21">
        <v>8839</v>
      </c>
      <c r="G21" s="7"/>
      <c r="H21" s="28">
        <v>9113</v>
      </c>
      <c r="I21" s="7"/>
    </row>
    <row r="22" spans="1:9" ht="15.75" hidden="1" x14ac:dyDescent="0.25">
      <c r="A22" s="128" t="s">
        <v>198</v>
      </c>
      <c r="B22" s="17"/>
      <c r="C22" s="17"/>
      <c r="D22" s="21"/>
      <c r="E22" s="7"/>
      <c r="F22" s="21">
        <v>0</v>
      </c>
      <c r="G22" s="7"/>
      <c r="H22" s="28">
        <v>0</v>
      </c>
      <c r="I22" s="7"/>
    </row>
    <row r="23" spans="1:9" ht="15" customHeight="1" x14ac:dyDescent="0.25">
      <c r="A23" s="128" t="s">
        <v>199</v>
      </c>
      <c r="B23" s="17"/>
      <c r="C23" s="17"/>
      <c r="D23" s="21"/>
      <c r="E23" s="7"/>
      <c r="F23" s="21">
        <v>4758</v>
      </c>
      <c r="G23" s="7"/>
      <c r="H23" s="28">
        <v>4029</v>
      </c>
      <c r="I23" s="7"/>
    </row>
    <row r="24" spans="1:9" ht="15" customHeight="1" x14ac:dyDescent="0.25">
      <c r="A24" s="128" t="s">
        <v>200</v>
      </c>
      <c r="B24" s="17"/>
      <c r="C24" s="17"/>
      <c r="D24" s="21"/>
      <c r="E24" s="7"/>
      <c r="F24" s="21">
        <v>3669</v>
      </c>
      <c r="G24" s="7"/>
      <c r="H24" s="28">
        <v>-211</v>
      </c>
      <c r="I24" s="7"/>
    </row>
    <row r="25" spans="1:9" ht="15" customHeight="1" x14ac:dyDescent="0.25">
      <c r="A25" s="132"/>
      <c r="B25" s="17"/>
      <c r="C25" s="17"/>
      <c r="D25" s="21"/>
      <c r="E25" s="7"/>
      <c r="F25" s="21"/>
      <c r="G25" s="7"/>
      <c r="H25" s="28"/>
      <c r="I25" s="7"/>
    </row>
    <row r="26" spans="1:9" ht="15" customHeight="1" x14ac:dyDescent="0.25">
      <c r="A26" s="16" t="s">
        <v>201</v>
      </c>
      <c r="B26" s="17"/>
      <c r="C26" s="17"/>
      <c r="D26" s="21"/>
      <c r="E26" s="126"/>
      <c r="F26" s="103">
        <v>181032</v>
      </c>
      <c r="G26" s="126"/>
      <c r="H26" s="127">
        <v>283974</v>
      </c>
      <c r="I26" s="126"/>
    </row>
    <row r="27" spans="1:9" ht="15" customHeight="1" x14ac:dyDescent="0.25">
      <c r="A27" s="16"/>
      <c r="B27" s="17"/>
      <c r="C27" s="17"/>
      <c r="D27" s="21"/>
      <c r="E27" s="7"/>
      <c r="F27" s="21"/>
      <c r="G27" s="7"/>
      <c r="H27" s="28"/>
      <c r="I27" s="7"/>
    </row>
    <row r="28" spans="1:9" ht="15" customHeight="1" x14ac:dyDescent="0.25">
      <c r="A28" s="16" t="s">
        <v>202</v>
      </c>
      <c r="B28" s="17"/>
      <c r="C28" s="17"/>
      <c r="D28" s="21"/>
      <c r="E28" s="126"/>
      <c r="F28" s="103">
        <v>21931</v>
      </c>
      <c r="G28" s="126"/>
      <c r="H28" s="127">
        <v>18988</v>
      </c>
      <c r="I28" s="126"/>
    </row>
    <row r="29" spans="1:9" ht="15" customHeight="1" x14ac:dyDescent="0.25">
      <c r="A29" s="128" t="s">
        <v>203</v>
      </c>
      <c r="B29" s="17"/>
      <c r="C29" s="17"/>
      <c r="D29" s="21"/>
      <c r="E29" s="7"/>
      <c r="F29" s="21">
        <v>21931</v>
      </c>
      <c r="G29" s="7"/>
      <c r="H29" s="28">
        <v>18988</v>
      </c>
      <c r="I29" s="7"/>
    </row>
    <row r="30" spans="1:9" ht="15" customHeight="1" x14ac:dyDescent="0.25">
      <c r="A30" s="128"/>
      <c r="B30" s="17"/>
      <c r="C30" s="17"/>
      <c r="D30" s="21"/>
      <c r="E30" s="7"/>
      <c r="F30" s="21"/>
      <c r="G30" s="7"/>
      <c r="H30" s="28"/>
      <c r="I30" s="7"/>
    </row>
    <row r="31" spans="1:9" ht="15" customHeight="1" x14ac:dyDescent="0.25">
      <c r="A31" s="16" t="s">
        <v>204</v>
      </c>
      <c r="B31" s="17"/>
      <c r="C31" s="17"/>
      <c r="D31" s="21"/>
      <c r="E31" s="126"/>
      <c r="F31" s="103">
        <v>159101</v>
      </c>
      <c r="G31" s="126"/>
      <c r="H31" s="127">
        <v>264986</v>
      </c>
      <c r="I31" s="126"/>
    </row>
    <row r="32" spans="1:9" ht="15" customHeight="1" x14ac:dyDescent="0.25">
      <c r="A32" s="16"/>
      <c r="B32" s="17"/>
      <c r="C32" s="17"/>
      <c r="D32" s="21"/>
      <c r="E32" s="7"/>
      <c r="F32" s="21"/>
      <c r="G32" s="7"/>
      <c r="H32" s="28"/>
      <c r="I32" s="7"/>
    </row>
    <row r="33" spans="1:9" ht="15" customHeight="1" x14ac:dyDescent="0.25">
      <c r="A33" s="16" t="s">
        <v>205</v>
      </c>
      <c r="B33" s="17"/>
      <c r="C33" s="17"/>
      <c r="D33" s="21"/>
      <c r="E33" s="126"/>
      <c r="F33" s="103">
        <v>32209</v>
      </c>
      <c r="G33" s="126"/>
      <c r="H33" s="127">
        <v>4285</v>
      </c>
      <c r="I33" s="126"/>
    </row>
    <row r="34" spans="1:9" ht="15" customHeight="1" x14ac:dyDescent="0.25">
      <c r="A34" s="128" t="s">
        <v>206</v>
      </c>
      <c r="B34" s="17"/>
      <c r="C34" s="17"/>
      <c r="D34" s="21"/>
      <c r="E34" s="7"/>
      <c r="F34" s="21">
        <v>32209</v>
      </c>
      <c r="G34" s="7"/>
      <c r="H34" s="28">
        <v>4285</v>
      </c>
      <c r="I34" s="7"/>
    </row>
    <row r="35" spans="1:9" ht="15" hidden="1" customHeight="1" x14ac:dyDescent="0.25">
      <c r="A35" s="128" t="s">
        <v>207</v>
      </c>
      <c r="B35" s="17"/>
      <c r="C35" s="17"/>
      <c r="D35" s="21"/>
      <c r="E35" s="7"/>
      <c r="F35" s="21">
        <v>0</v>
      </c>
      <c r="G35" s="7"/>
      <c r="H35" s="28">
        <v>0</v>
      </c>
      <c r="I35" s="7"/>
    </row>
    <row r="36" spans="1:9" ht="15" customHeight="1" x14ac:dyDescent="0.25">
      <c r="A36" s="128"/>
      <c r="B36" s="17"/>
      <c r="C36" s="17"/>
      <c r="D36" s="21"/>
      <c r="E36" s="7"/>
      <c r="F36" s="21"/>
      <c r="G36" s="7"/>
      <c r="H36" s="28"/>
      <c r="I36" s="7"/>
    </row>
    <row r="37" spans="1:9" ht="15" customHeight="1" thickBot="1" x14ac:dyDescent="0.3">
      <c r="A37" s="16" t="s">
        <v>208</v>
      </c>
      <c r="B37" s="17"/>
      <c r="C37" s="17"/>
      <c r="D37" s="25"/>
      <c r="E37" s="126"/>
      <c r="F37" s="133">
        <v>191310</v>
      </c>
      <c r="G37" s="126"/>
      <c r="H37" s="134">
        <v>269271</v>
      </c>
      <c r="I37" s="126"/>
    </row>
    <row r="38" spans="1:9" ht="15" customHeight="1" thickTop="1" x14ac:dyDescent="0.25">
      <c r="A38" s="16"/>
      <c r="B38" s="17"/>
      <c r="C38" s="17"/>
      <c r="D38" s="21"/>
      <c r="E38" s="7"/>
      <c r="F38" s="21"/>
      <c r="G38" s="7"/>
      <c r="H38" s="28"/>
      <c r="I38" s="7"/>
    </row>
    <row r="39" spans="1:9" ht="15" customHeight="1" thickBot="1" x14ac:dyDescent="0.3">
      <c r="A39" s="16" t="s">
        <v>209</v>
      </c>
      <c r="B39" s="17"/>
      <c r="C39" s="17"/>
      <c r="D39" s="21"/>
      <c r="E39" s="126"/>
      <c r="F39" s="133">
        <v>191310</v>
      </c>
      <c r="G39" s="126"/>
      <c r="H39" s="134">
        <v>269271</v>
      </c>
      <c r="I39" s="126"/>
    </row>
    <row r="40" spans="1:9" ht="15" customHeight="1" thickTop="1" x14ac:dyDescent="0.25">
      <c r="A40" s="16"/>
      <c r="B40" s="17"/>
      <c r="C40" s="17"/>
      <c r="D40" s="21"/>
      <c r="E40" s="7"/>
      <c r="F40" s="21"/>
      <c r="G40" s="7"/>
      <c r="H40" s="28"/>
      <c r="I40" s="7"/>
    </row>
    <row r="41" spans="1:9" ht="15" customHeight="1" x14ac:dyDescent="0.25">
      <c r="A41" s="128" t="s">
        <v>210</v>
      </c>
      <c r="B41" s="17"/>
      <c r="C41" s="17"/>
      <c r="D41" s="21"/>
      <c r="E41" s="7"/>
      <c r="F41" s="39">
        <v>18293</v>
      </c>
      <c r="G41" s="7"/>
      <c r="H41" s="110">
        <v>12727</v>
      </c>
      <c r="I41" s="7"/>
    </row>
    <row r="42" spans="1:9" ht="15" customHeight="1" x14ac:dyDescent="0.25">
      <c r="A42" s="128" t="s">
        <v>211</v>
      </c>
      <c r="B42" s="17"/>
      <c r="C42" s="17"/>
      <c r="D42" s="21"/>
      <c r="E42" s="7"/>
      <c r="F42" s="21">
        <v>14820</v>
      </c>
      <c r="G42" s="7"/>
      <c r="H42" s="28">
        <v>9725</v>
      </c>
      <c r="I42" s="7"/>
    </row>
    <row r="43" spans="1:9" ht="15" customHeight="1" x14ac:dyDescent="0.25">
      <c r="A43" s="128" t="s">
        <v>212</v>
      </c>
      <c r="B43" s="17"/>
      <c r="C43" s="17"/>
      <c r="D43" s="21"/>
      <c r="E43" s="7"/>
      <c r="F43" s="21">
        <v>2738</v>
      </c>
      <c r="G43" s="7"/>
      <c r="H43" s="28">
        <v>2365</v>
      </c>
      <c r="I43" s="7"/>
    </row>
    <row r="44" spans="1:9" ht="15" customHeight="1" x14ac:dyDescent="0.25">
      <c r="A44" s="128" t="s">
        <v>213</v>
      </c>
      <c r="B44" s="17"/>
      <c r="C44" s="17"/>
      <c r="D44" s="21"/>
      <c r="E44" s="7"/>
      <c r="F44" s="21">
        <v>735</v>
      </c>
      <c r="G44" s="7"/>
      <c r="H44" s="28">
        <v>637</v>
      </c>
      <c r="I44" s="7"/>
    </row>
    <row r="45" spans="1:9" ht="15" customHeight="1" x14ac:dyDescent="0.25">
      <c r="A45" s="128"/>
      <c r="B45" s="17"/>
      <c r="C45" s="17"/>
      <c r="D45" s="21"/>
      <c r="E45" s="7"/>
      <c r="F45" s="21"/>
      <c r="G45" s="7"/>
      <c r="H45" s="28"/>
      <c r="I45" s="7"/>
    </row>
    <row r="46" spans="1:9" ht="15" customHeight="1" x14ac:dyDescent="0.25">
      <c r="A46" s="128" t="s">
        <v>214</v>
      </c>
      <c r="B46" s="17"/>
      <c r="C46" s="17"/>
      <c r="D46" s="21"/>
      <c r="E46" s="7"/>
      <c r="F46" s="39">
        <v>46047</v>
      </c>
      <c r="G46" s="7"/>
      <c r="H46" s="110">
        <v>24179</v>
      </c>
      <c r="I46" s="7"/>
    </row>
    <row r="47" spans="1:9" ht="15" customHeight="1" x14ac:dyDescent="0.25">
      <c r="A47" s="128" t="s">
        <v>215</v>
      </c>
      <c r="B47" s="17"/>
      <c r="C47" s="17"/>
      <c r="D47" s="21"/>
      <c r="E47" s="7"/>
      <c r="F47" s="21">
        <v>37785</v>
      </c>
      <c r="G47" s="7"/>
      <c r="H47" s="28">
        <v>20746</v>
      </c>
      <c r="I47" s="7"/>
    </row>
    <row r="48" spans="1:9" ht="15" customHeight="1" x14ac:dyDescent="0.25">
      <c r="A48" s="128" t="s">
        <v>216</v>
      </c>
      <c r="B48" s="17"/>
      <c r="C48" s="17"/>
      <c r="D48" s="21"/>
      <c r="E48" s="7"/>
      <c r="F48" s="21">
        <v>7410</v>
      </c>
      <c r="G48" s="7"/>
      <c r="H48" s="28">
        <v>2670</v>
      </c>
      <c r="I48" s="7"/>
    </row>
    <row r="49" spans="1:79" ht="15" customHeight="1" x14ac:dyDescent="0.25">
      <c r="A49" s="128" t="s">
        <v>217</v>
      </c>
      <c r="B49" s="17"/>
      <c r="C49" s="17"/>
      <c r="D49" s="21"/>
      <c r="E49" s="7"/>
      <c r="F49" s="21">
        <v>852</v>
      </c>
      <c r="G49" s="7"/>
      <c r="H49" s="28">
        <v>763</v>
      </c>
      <c r="I49" s="7"/>
    </row>
    <row r="50" spans="1:79" ht="15" customHeight="1" x14ac:dyDescent="0.25">
      <c r="A50" s="128"/>
      <c r="B50" s="17"/>
      <c r="C50" s="17"/>
      <c r="D50" s="21"/>
      <c r="E50" s="7"/>
      <c r="F50" s="21"/>
      <c r="G50" s="7"/>
      <c r="H50" s="28"/>
      <c r="I50" s="7"/>
    </row>
    <row r="51" spans="1:79" ht="15" customHeight="1" x14ac:dyDescent="0.25">
      <c r="A51" s="128" t="s">
        <v>218</v>
      </c>
      <c r="B51" s="17"/>
      <c r="C51" s="17"/>
      <c r="D51" s="21"/>
      <c r="E51" s="7"/>
      <c r="F51" s="39">
        <v>2296</v>
      </c>
      <c r="G51" s="7"/>
      <c r="H51" s="110">
        <v>168970</v>
      </c>
      <c r="I51" s="7"/>
    </row>
    <row r="52" spans="1:79" ht="15" customHeight="1" x14ac:dyDescent="0.25">
      <c r="A52" s="128" t="s">
        <v>219</v>
      </c>
      <c r="B52" s="17"/>
      <c r="C52" s="17"/>
      <c r="D52" s="21"/>
      <c r="E52" s="7"/>
      <c r="F52" s="21">
        <v>1134</v>
      </c>
      <c r="G52" s="7"/>
      <c r="H52" s="28">
        <v>3179</v>
      </c>
      <c r="I52" s="7"/>
    </row>
    <row r="53" spans="1:79" ht="15" customHeight="1" x14ac:dyDescent="0.25">
      <c r="A53" s="128" t="s">
        <v>220</v>
      </c>
      <c r="B53" s="17"/>
      <c r="C53" s="17"/>
      <c r="D53" s="21"/>
      <c r="E53" s="7"/>
      <c r="F53" s="21">
        <v>396</v>
      </c>
      <c r="G53" s="7"/>
      <c r="H53" s="28">
        <v>373</v>
      </c>
      <c r="I53" s="7"/>
    </row>
    <row r="54" spans="1:79" ht="15" customHeight="1" x14ac:dyDescent="0.25">
      <c r="A54" s="128" t="s">
        <v>221</v>
      </c>
      <c r="B54" s="17"/>
      <c r="C54" s="17"/>
      <c r="D54" s="21"/>
      <c r="E54" s="7"/>
      <c r="F54" s="21">
        <v>766</v>
      </c>
      <c r="G54" s="7"/>
      <c r="H54" s="28">
        <v>165418</v>
      </c>
      <c r="I54" s="7"/>
    </row>
    <row r="55" spans="1:79" ht="15" customHeight="1" x14ac:dyDescent="0.25">
      <c r="A55" s="128"/>
      <c r="B55" s="17"/>
      <c r="C55" s="17"/>
      <c r="D55" s="21"/>
      <c r="E55" s="7"/>
      <c r="F55" s="21"/>
      <c r="G55" s="7"/>
      <c r="H55" s="28"/>
      <c r="I55" s="7"/>
    </row>
    <row r="56" spans="1:79" ht="15" customHeight="1" x14ac:dyDescent="0.25">
      <c r="A56" s="128" t="s">
        <v>222</v>
      </c>
      <c r="B56" s="17"/>
      <c r="C56" s="17"/>
      <c r="D56" s="21"/>
      <c r="E56" s="7"/>
      <c r="F56" s="39">
        <v>124674</v>
      </c>
      <c r="G56" s="7"/>
      <c r="H56" s="110">
        <v>63395</v>
      </c>
      <c r="I56" s="7"/>
    </row>
    <row r="57" spans="1:79" ht="15" customHeight="1" x14ac:dyDescent="0.25">
      <c r="A57" s="128" t="s">
        <v>223</v>
      </c>
      <c r="B57" s="17"/>
      <c r="C57" s="17"/>
      <c r="D57" s="21"/>
      <c r="E57" s="7"/>
      <c r="F57" s="21">
        <v>9205</v>
      </c>
      <c r="G57" s="7"/>
      <c r="H57" s="28">
        <v>8609</v>
      </c>
      <c r="I57" s="7"/>
    </row>
    <row r="58" spans="1:79" ht="15" customHeight="1" x14ac:dyDescent="0.25">
      <c r="A58" s="128" t="s">
        <v>224</v>
      </c>
      <c r="B58" s="17"/>
      <c r="C58" s="17"/>
      <c r="D58" s="21"/>
      <c r="E58" s="7"/>
      <c r="F58" s="21">
        <v>53538</v>
      </c>
      <c r="G58" s="7"/>
      <c r="H58" s="28">
        <v>39668</v>
      </c>
      <c r="I58" s="7"/>
    </row>
    <row r="59" spans="1:79" ht="15" customHeight="1" x14ac:dyDescent="0.25">
      <c r="A59" s="128" t="s">
        <v>225</v>
      </c>
      <c r="B59" s="17"/>
      <c r="C59" s="17"/>
      <c r="D59" s="21"/>
      <c r="E59" s="7"/>
      <c r="F59" s="21">
        <v>61931</v>
      </c>
      <c r="G59" s="7"/>
      <c r="H59" s="28">
        <v>15118</v>
      </c>
      <c r="I59" s="7"/>
    </row>
    <row r="60" spans="1:79" ht="15" hidden="1" customHeight="1" x14ac:dyDescent="0.25">
      <c r="A60" s="128" t="s">
        <v>226</v>
      </c>
      <c r="B60" s="17"/>
      <c r="C60" s="17"/>
      <c r="D60" s="21"/>
      <c r="E60" s="7"/>
      <c r="F60" s="136">
        <v>0</v>
      </c>
      <c r="G60" s="7"/>
      <c r="H60" s="28">
        <v>0</v>
      </c>
      <c r="I60" s="7"/>
    </row>
    <row r="61" spans="1:79" ht="15" customHeight="1" x14ac:dyDescent="0.25">
      <c r="A61" s="13"/>
      <c r="B61" s="17"/>
      <c r="C61" s="17"/>
      <c r="D61" s="21"/>
      <c r="E61" s="7"/>
      <c r="F61" s="136"/>
      <c r="G61" s="7"/>
      <c r="H61" s="28"/>
      <c r="I61" s="7"/>
    </row>
    <row r="62" spans="1:79" ht="15" customHeight="1" x14ac:dyDescent="0.25">
      <c r="A62" s="38" t="s">
        <v>102</v>
      </c>
      <c r="B62" s="38"/>
      <c r="C62" s="38"/>
      <c r="D62" s="39"/>
      <c r="E62" s="10"/>
      <c r="F62" s="39"/>
      <c r="G62" s="10"/>
      <c r="H62" s="110"/>
      <c r="I62" s="10"/>
    </row>
    <row r="63" spans="1:79" ht="15" customHeight="1" x14ac:dyDescent="0.25">
      <c r="A63" s="17"/>
      <c r="B63" s="17"/>
      <c r="C63" s="17"/>
      <c r="D63" s="21"/>
      <c r="E63" s="7"/>
      <c r="F63" s="21"/>
      <c r="G63" s="7"/>
      <c r="H63" s="28"/>
      <c r="I63" s="7"/>
    </row>
    <row r="64" spans="1:79" s="137" customFormat="1" ht="15" customHeight="1" x14ac:dyDescent="0.25">
      <c r="B64" s="138"/>
      <c r="C64" s="138"/>
      <c r="D64" s="139"/>
      <c r="E64" s="140"/>
      <c r="F64" s="139"/>
      <c r="G64" s="140"/>
      <c r="H64" s="141"/>
      <c r="I64" s="140"/>
      <c r="J64" s="142"/>
      <c r="K64" s="142"/>
      <c r="L64" s="142"/>
      <c r="M64" s="142"/>
      <c r="N64" s="142"/>
      <c r="O64" s="142"/>
      <c r="P64" s="142"/>
      <c r="Q64" s="142"/>
      <c r="R64" s="142"/>
      <c r="S64" s="142"/>
      <c r="T64" s="142"/>
      <c r="U64" s="142"/>
      <c r="V64" s="142"/>
      <c r="W64" s="142"/>
      <c r="X64" s="142"/>
      <c r="Y64" s="142"/>
      <c r="Z64" s="142"/>
      <c r="AA64" s="142"/>
      <c r="AB64" s="142"/>
      <c r="AC64" s="142"/>
      <c r="AD64" s="142"/>
      <c r="AE64" s="142"/>
      <c r="AF64" s="142"/>
      <c r="AG64" s="142"/>
      <c r="AH64" s="142"/>
      <c r="AI64" s="142"/>
      <c r="AJ64" s="142"/>
      <c r="AK64" s="142"/>
      <c r="AL64" s="142"/>
      <c r="AM64" s="142"/>
      <c r="AN64" s="142"/>
      <c r="AO64" s="142"/>
      <c r="AP64" s="142"/>
      <c r="AQ64" s="142"/>
      <c r="AR64" s="142"/>
      <c r="AS64" s="142"/>
      <c r="AT64" s="142"/>
      <c r="AU64" s="142"/>
      <c r="AV64" s="142"/>
      <c r="AW64" s="142"/>
      <c r="AX64" s="142"/>
      <c r="AY64" s="142"/>
      <c r="AZ64" s="142"/>
      <c r="BA64" s="142"/>
      <c r="BB64" s="142"/>
      <c r="BC64" s="142"/>
      <c r="BD64" s="142"/>
      <c r="BE64" s="142"/>
      <c r="BF64" s="142"/>
      <c r="BG64" s="142"/>
      <c r="BH64" s="142"/>
      <c r="BI64" s="142"/>
      <c r="BJ64" s="142"/>
      <c r="BK64" s="142"/>
      <c r="BL64" s="142"/>
      <c r="BM64" s="142"/>
      <c r="BN64" s="142"/>
      <c r="BO64" s="142"/>
      <c r="BP64" s="142"/>
      <c r="BQ64" s="142"/>
      <c r="BR64" s="142"/>
      <c r="BS64" s="142"/>
      <c r="BT64" s="142"/>
      <c r="BU64" s="142"/>
      <c r="BV64" s="142"/>
      <c r="BW64" s="142"/>
      <c r="BX64" s="142"/>
      <c r="BY64" s="142"/>
      <c r="BZ64" s="142"/>
      <c r="CA64" s="142"/>
    </row>
    <row r="71" spans="2:14" ht="15" customHeight="1" x14ac:dyDescent="0.25">
      <c r="M71" s="213"/>
      <c r="N71" s="191"/>
    </row>
    <row r="72" spans="2:14" ht="15" customHeight="1" x14ac:dyDescent="0.25">
      <c r="H72" s="7">
        <v>6</v>
      </c>
      <c r="M72" s="213"/>
      <c r="N72" s="214"/>
    </row>
    <row r="74" spans="2:14" ht="15" customHeight="1" x14ac:dyDescent="0.25">
      <c r="B74" s="147"/>
    </row>
    <row r="75" spans="2:14" ht="15" customHeight="1" x14ac:dyDescent="0.25">
      <c r="B75" s="147"/>
    </row>
    <row r="76" spans="2:14" ht="15" customHeight="1" x14ac:dyDescent="0.25">
      <c r="B76" s="147"/>
    </row>
    <row r="77" spans="2:14" ht="15" customHeight="1" x14ac:dyDescent="0.25">
      <c r="B77" s="148"/>
      <c r="H77" s="149"/>
    </row>
  </sheetData>
  <mergeCells count="6">
    <mergeCell ref="A19:D19"/>
    <mergeCell ref="A7:I7"/>
    <mergeCell ref="A9:I9"/>
    <mergeCell ref="D11:D12"/>
    <mergeCell ref="F11:F12"/>
    <mergeCell ref="H11:H12"/>
  </mergeCells>
  <printOptions horizontalCentered="1"/>
  <pageMargins left="0.39370078740157483" right="0.39370078740157483" top="0.39370078740157483" bottom="0.39370078740157483" header="0" footer="0.19685039370078741"/>
  <pageSetup paperSize="9" scale="7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3</vt:i4>
      </vt:variant>
    </vt:vector>
  </HeadingPairs>
  <TitlesOfParts>
    <vt:vector size="9" baseType="lpstr">
      <vt:lpstr>BALANÇO</vt:lpstr>
      <vt:lpstr>DRE</vt:lpstr>
      <vt:lpstr>DRA</vt:lpstr>
      <vt:lpstr>DFC</vt:lpstr>
      <vt:lpstr>DMPL</vt:lpstr>
      <vt:lpstr>DVA</vt:lpstr>
      <vt:lpstr>DFC!Area_de_impressao</vt:lpstr>
      <vt:lpstr>DRA!Area_de_impressao</vt:lpstr>
      <vt:lpstr>DRE!Area_de_impressao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Taianny Sterphanny Lima do Vale</dc:creator>
  <cp:lastModifiedBy>Taianny Sterphanny Lima do Vale</cp:lastModifiedBy>
  <cp:lastPrinted>2022-02-24T11:21:57Z</cp:lastPrinted>
  <dcterms:created xsi:type="dcterms:W3CDTF">2021-01-26T12:24:06Z</dcterms:created>
  <dcterms:modified xsi:type="dcterms:W3CDTF">2022-02-24T12:28:51Z</dcterms:modified>
</cp:coreProperties>
</file>